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5195" windowHeight="8700"/>
  </bookViews>
  <sheets>
    <sheet name="Ratios" sheetId="1" r:id="rId1"/>
    <sheet name="Sumbudg" sheetId="4" r:id="rId2"/>
    <sheet name="FinStmt" sheetId="2" r:id="rId3"/>
  </sheets>
  <definedNames>
    <definedName name="_xlnm.Print_Area" localSheetId="2">FinStmt!$A$1:$E$57</definedName>
    <definedName name="_xlnm.Print_Area" localSheetId="0">Ratios!$A$1:$E$52</definedName>
  </definedNames>
  <calcPr calcId="144525"/>
</workbook>
</file>

<file path=xl/calcChain.xml><?xml version="1.0" encoding="utf-8"?>
<calcChain xmlns="http://schemas.openxmlformats.org/spreadsheetml/2006/main">
  <c r="C35" i="1"/>
  <c r="C33"/>
  <c r="C43"/>
  <c r="F53" i="2"/>
  <c r="F56" s="1"/>
  <c r="F44"/>
  <c r="F43"/>
  <c r="F40"/>
  <c r="F47" s="1"/>
  <c r="F48" s="1"/>
  <c r="F33"/>
  <c r="F37"/>
  <c r="F24"/>
  <c r="F17"/>
  <c r="F10"/>
  <c r="C53"/>
  <c r="C44"/>
  <c r="C43"/>
  <c r="C40"/>
  <c r="C33"/>
  <c r="C24" i="1"/>
  <c r="D9"/>
  <c r="D11" s="1"/>
  <c r="D15" s="1"/>
  <c r="E9"/>
  <c r="E10"/>
  <c r="E11"/>
  <c r="D24"/>
  <c r="D29"/>
  <c r="E29"/>
  <c r="D33"/>
  <c r="E33"/>
  <c r="D35"/>
  <c r="E35"/>
  <c r="D43"/>
  <c r="D44"/>
  <c r="D45" s="1"/>
  <c r="E45"/>
  <c r="D46"/>
  <c r="E46"/>
  <c r="D10" i="2"/>
  <c r="E10"/>
  <c r="D17"/>
  <c r="E17"/>
  <c r="D24"/>
  <c r="E24"/>
  <c r="D33"/>
  <c r="E33"/>
  <c r="D37"/>
  <c r="E37"/>
  <c r="D40"/>
  <c r="E40"/>
  <c r="D43"/>
  <c r="E43"/>
  <c r="D44"/>
  <c r="E44"/>
  <c r="D47"/>
  <c r="E47"/>
  <c r="D48"/>
  <c r="E48"/>
  <c r="D53"/>
  <c r="E53"/>
  <c r="E54"/>
  <c r="D56"/>
  <c r="E56"/>
  <c r="C45" i="1"/>
  <c r="C9"/>
  <c r="C11" s="1"/>
  <c r="C15" s="1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C56" i="2"/>
  <c r="C47"/>
  <c r="A8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9" i="4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C37" i="2"/>
  <c r="C48" s="1"/>
  <c r="C24"/>
  <c r="C17"/>
  <c r="C10"/>
</calcChain>
</file>

<file path=xl/sharedStrings.xml><?xml version="1.0" encoding="utf-8"?>
<sst xmlns="http://schemas.openxmlformats.org/spreadsheetml/2006/main" count="165" uniqueCount="140">
  <si>
    <t>Cash</t>
  </si>
  <si>
    <t>Number of Days Cash</t>
  </si>
  <si>
    <t>Accounts Receivable</t>
  </si>
  <si>
    <t>Days Student A/R net</t>
  </si>
  <si>
    <t>Current Assets</t>
  </si>
  <si>
    <t>Current Ratio</t>
  </si>
  <si>
    <t>Long Term Assets</t>
  </si>
  <si>
    <t>Depreciation</t>
  </si>
  <si>
    <t>Liabilities</t>
  </si>
  <si>
    <t>Bond Issue debt</t>
  </si>
  <si>
    <t>Current Bond Issue Payment</t>
  </si>
  <si>
    <t xml:space="preserve">     Total Unrestricted Cash</t>
  </si>
  <si>
    <t>Endowment Total Value</t>
  </si>
  <si>
    <t>Endowment Earnings</t>
  </si>
  <si>
    <t>Endowment Moneys Released</t>
  </si>
  <si>
    <t>Other</t>
  </si>
  <si>
    <t>Statement of Financial Position - Total View</t>
  </si>
  <si>
    <t>Long term Assets</t>
  </si>
  <si>
    <t>Plant Assets net</t>
  </si>
  <si>
    <t xml:space="preserve">     Total Assets</t>
  </si>
  <si>
    <t>Current Liabilities</t>
  </si>
  <si>
    <t>Long term Liabilities</t>
  </si>
  <si>
    <t>Net Assets - UR</t>
  </si>
  <si>
    <t>Net Assets - TR</t>
  </si>
  <si>
    <t>Net Assets - PR</t>
  </si>
  <si>
    <t xml:space="preserve">     Total Liab &amp; NA</t>
  </si>
  <si>
    <t>Statement of Cash Flow</t>
  </si>
  <si>
    <t>Net Cash flow Investing</t>
  </si>
  <si>
    <t>Net Cash flow Financing</t>
  </si>
  <si>
    <t>Net Cash flow Operating</t>
  </si>
  <si>
    <t>Net Increase (Decrease)</t>
  </si>
  <si>
    <t>Cash Ending</t>
  </si>
  <si>
    <t>Statement of Activities - Total View</t>
  </si>
  <si>
    <t>Net Tuition &amp; Fees</t>
  </si>
  <si>
    <t>Federal Grants</t>
  </si>
  <si>
    <t>Sales &amp; Services</t>
  </si>
  <si>
    <t>Endowment Income</t>
  </si>
  <si>
    <t>Investment Income</t>
  </si>
  <si>
    <t>Other Income</t>
  </si>
  <si>
    <t xml:space="preserve">     Total Revenues</t>
  </si>
  <si>
    <t>Private Gifts</t>
  </si>
  <si>
    <t>Purchases for resale</t>
  </si>
  <si>
    <t xml:space="preserve">     Total Expenses</t>
  </si>
  <si>
    <t>Net Income (Loss)</t>
  </si>
  <si>
    <t>Net Income Breakdown</t>
  </si>
  <si>
    <t>E&amp;G</t>
  </si>
  <si>
    <t>Auxiliaries</t>
  </si>
  <si>
    <t>Industries</t>
  </si>
  <si>
    <t>Plant &amp; Loan fund</t>
  </si>
  <si>
    <t>Temporarily Restricted</t>
  </si>
  <si>
    <t>Permanently Restricted</t>
  </si>
  <si>
    <t>CFI</t>
  </si>
  <si>
    <t>Line of Credit</t>
  </si>
  <si>
    <t>Scholarships</t>
  </si>
  <si>
    <t>Reclasses</t>
  </si>
  <si>
    <t>Budget</t>
  </si>
  <si>
    <t>Talge Hall</t>
  </si>
  <si>
    <t>Thatcher Hall</t>
  </si>
  <si>
    <t>Student Housing</t>
  </si>
  <si>
    <t>Staff Housing</t>
  </si>
  <si>
    <t>Food Service</t>
  </si>
  <si>
    <t>Leaseholds</t>
  </si>
  <si>
    <t>Village Market</t>
  </si>
  <si>
    <t>SOMCO</t>
  </si>
  <si>
    <t>Wellness Connection</t>
  </si>
  <si>
    <t>Movie Production</t>
  </si>
  <si>
    <t>Benefit Pool</t>
  </si>
  <si>
    <t>Business Masters</t>
  </si>
  <si>
    <t>Education Masters</t>
  </si>
  <si>
    <t>Religion Masters</t>
  </si>
  <si>
    <t>Discounts - Undergrad</t>
  </si>
  <si>
    <t>Campus Based - Undergrad</t>
  </si>
  <si>
    <t>Waivers - Undergrad</t>
  </si>
  <si>
    <t>SOUTHERN ADVENTIST UNIVERSITY</t>
  </si>
  <si>
    <t>FINANCIAL RATIOS</t>
  </si>
  <si>
    <t>FINANCIAL STATEMENT SUMMARY</t>
  </si>
  <si>
    <t>Actual YTD</t>
  </si>
  <si>
    <t>May 31</t>
  </si>
  <si>
    <t>Campus Shop</t>
  </si>
  <si>
    <t xml:space="preserve">     Scholarships</t>
  </si>
  <si>
    <t>Endowed Scholarships</t>
  </si>
  <si>
    <t>TR Scholarships</t>
  </si>
  <si>
    <t>Southern Adventist University</t>
  </si>
  <si>
    <t>Financial Summary Budget View</t>
  </si>
  <si>
    <t>Consolidated Financial Index</t>
  </si>
  <si>
    <t>Endowment Additions</t>
  </si>
  <si>
    <t>FY2008</t>
  </si>
  <si>
    <t>This Year</t>
  </si>
  <si>
    <t>Last Year</t>
  </si>
  <si>
    <t>E&amp;G Budget Income Statement</t>
  </si>
  <si>
    <t>UG Tuition</t>
  </si>
  <si>
    <t>Grad Tuition</t>
  </si>
  <si>
    <t>Fees</t>
  </si>
  <si>
    <t>Salaries</t>
  </si>
  <si>
    <t>Hourly wages</t>
  </si>
  <si>
    <t>Student wages</t>
  </si>
  <si>
    <t>Benefits</t>
  </si>
  <si>
    <t>Utilities</t>
  </si>
  <si>
    <t>Repair &amp; maintenance</t>
  </si>
  <si>
    <t>General operating expenses</t>
  </si>
  <si>
    <t>Academic related expenses</t>
  </si>
  <si>
    <t>Student related expenses</t>
  </si>
  <si>
    <t>Allocated costs</t>
  </si>
  <si>
    <t>May 08</t>
  </si>
  <si>
    <t>Instruction</t>
  </si>
  <si>
    <t>Research &amp; Public Serv</t>
  </si>
  <si>
    <t>Academic Support</t>
  </si>
  <si>
    <t>Student Services</t>
  </si>
  <si>
    <t>Institutional Support</t>
  </si>
  <si>
    <t>Operations &amp; Deprec</t>
  </si>
  <si>
    <t>E&amp;G &amp; Auxiliaries</t>
  </si>
  <si>
    <t>Cash &amp; Cash Equivalents Total</t>
  </si>
  <si>
    <t>Less Temporarily restricted</t>
  </si>
  <si>
    <t>Less Permanently restricted</t>
  </si>
  <si>
    <t xml:space="preserve">     Operating Unrestricted Cash</t>
  </si>
  <si>
    <t>Cash on Hand FL Hall/Wellness</t>
  </si>
  <si>
    <t>Student Non Current</t>
  </si>
  <si>
    <t>Student Current</t>
  </si>
  <si>
    <t>Operating Capital Budget</t>
  </si>
  <si>
    <t xml:space="preserve">Operating Capital Additions </t>
  </si>
  <si>
    <t>Non Operating Capital Additions</t>
  </si>
  <si>
    <t>Endowment Unrealized Gain (Loss)</t>
  </si>
  <si>
    <t>Actual Unfunded Scholarships</t>
  </si>
  <si>
    <t>Actual UG Tuition and required fees</t>
  </si>
  <si>
    <t>Actual percentage</t>
  </si>
  <si>
    <t>Budget percentage</t>
  </si>
  <si>
    <t>Budget FFTE</t>
  </si>
  <si>
    <t>Actual FFTE</t>
  </si>
  <si>
    <t>May 09</t>
  </si>
  <si>
    <t>Church Subsidy</t>
  </si>
  <si>
    <t>Government Grants</t>
  </si>
  <si>
    <t xml:space="preserve">     Total Net Revenues</t>
  </si>
  <si>
    <t>Travel, Entert,  Prof Growth</t>
  </si>
  <si>
    <t xml:space="preserve">     Auxiliaries Gain (Loss)</t>
  </si>
  <si>
    <t xml:space="preserve">     Industries Gain (Loss)</t>
  </si>
  <si>
    <t>FY2009</t>
  </si>
  <si>
    <t>Debt Repayment/Construction</t>
  </si>
  <si>
    <t>May 10</t>
  </si>
  <si>
    <t>FY2010</t>
  </si>
  <si>
    <t>For the Twelve Months Ending May 31, 2010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</si>
</sst>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#,##0.0_);\(#,##0.0\)"/>
    <numFmt numFmtId="165" formatCode="0.0"/>
    <numFmt numFmtId="166" formatCode="&quot;$&quot;#,###,##0;\(&quot;$&quot;#,###,##0\)"/>
    <numFmt numFmtId="167" formatCode="#,###,##0;\(#,###,##0\)"/>
    <numFmt numFmtId="168" formatCode="#,##0.00%;\(#,##0.00%\)"/>
    <numFmt numFmtId="169" formatCode="_(* #,##0_);_(* \(#,##0\);_(* &quot;-&quot;??_);_(@_)"/>
  </numFmts>
  <fonts count="1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color indexed="0"/>
      <name val="Arial"/>
      <family val="2"/>
    </font>
    <font>
      <b/>
      <sz val="10"/>
      <color indexed="0"/>
      <name val="Times New Roman"/>
      <family val="1"/>
    </font>
    <font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6" fillId="0" borderId="0"/>
    <xf numFmtId="166" fontId="6" fillId="0" borderId="0"/>
    <xf numFmtId="168" fontId="6" fillId="0" borderId="0"/>
    <xf numFmtId="0" fontId="6" fillId="0" borderId="0"/>
    <xf numFmtId="0" fontId="8" fillId="0" borderId="0"/>
    <xf numFmtId="9" fontId="1" fillId="0" borderId="0" applyFont="0" applyFill="0" applyBorder="0" applyAlignment="0" applyProtection="0"/>
    <xf numFmtId="0" fontId="4" fillId="0" borderId="0" applyNumberFormat="0" applyBorder="0" applyAlignment="0"/>
    <xf numFmtId="0" fontId="6" fillId="0" borderId="0"/>
    <xf numFmtId="0" fontId="5" fillId="0" borderId="0" applyNumberFormat="0" applyBorder="0" applyAlignment="0"/>
    <xf numFmtId="0" fontId="7" fillId="0" borderId="0"/>
  </cellStyleXfs>
  <cellXfs count="42">
    <xf numFmtId="0" fontId="0" fillId="0" borderId="0" xfId="0"/>
    <xf numFmtId="0" fontId="2" fillId="0" borderId="0" xfId="0" applyFont="1"/>
    <xf numFmtId="37" fontId="0" fillId="0" borderId="0" xfId="0" quotePrefix="1" applyNumberFormat="1" applyAlignment="1">
      <alignment horizontal="center"/>
    </xf>
    <xf numFmtId="37" fontId="0" fillId="0" borderId="0" xfId="0" applyNumberFormat="1"/>
    <xf numFmtId="37" fontId="0" fillId="0" borderId="1" xfId="0" applyNumberFormat="1" applyBorder="1"/>
    <xf numFmtId="164" fontId="0" fillId="0" borderId="0" xfId="0" applyNumberFormat="1"/>
    <xf numFmtId="37" fontId="0" fillId="0" borderId="2" xfId="0" applyNumberFormat="1" applyBorder="1"/>
    <xf numFmtId="37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4" fillId="0" borderId="0" xfId="9" applyNumberFormat="1"/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167" fontId="7" fillId="0" borderId="0" xfId="3" applyFont="1"/>
    <xf numFmtId="49" fontId="6" fillId="0" borderId="0" xfId="3" applyNumberFormat="1" applyAlignment="1">
      <alignment horizontal="center"/>
    </xf>
    <xf numFmtId="49" fontId="6" fillId="0" borderId="3" xfId="3" applyNumberFormat="1" applyBorder="1" applyAlignment="1">
      <alignment horizontal="center"/>
    </xf>
    <xf numFmtId="10" fontId="6" fillId="0" borderId="3" xfId="5" applyNumberFormat="1" applyBorder="1"/>
    <xf numFmtId="10" fontId="6" fillId="0" borderId="1" xfId="5" applyNumberFormat="1" applyBorder="1"/>
    <xf numFmtId="167" fontId="6" fillId="0" borderId="0" xfId="3"/>
    <xf numFmtId="167" fontId="6" fillId="0" borderId="3" xfId="3" applyBorder="1"/>
    <xf numFmtId="167" fontId="6" fillId="0" borderId="1" xfId="3" applyBorder="1"/>
    <xf numFmtId="37" fontId="0" fillId="0" borderId="0" xfId="0" applyNumberFormat="1" applyBorder="1"/>
    <xf numFmtId="0" fontId="9" fillId="0" borderId="0" xfId="0" applyFont="1" applyAlignment="1">
      <alignment horizontal="center"/>
    </xf>
    <xf numFmtId="0" fontId="0" fillId="0" borderId="0" xfId="0" applyBorder="1"/>
    <xf numFmtId="169" fontId="0" fillId="0" borderId="0" xfId="1" applyNumberFormat="1" applyFont="1" applyBorder="1"/>
    <xf numFmtId="0" fontId="0" fillId="0" borderId="0" xfId="0" applyFill="1" applyBorder="1"/>
    <xf numFmtId="10" fontId="0" fillId="0" borderId="0" xfId="8" applyNumberFormat="1" applyFont="1" applyBorder="1"/>
    <xf numFmtId="0" fontId="0" fillId="0" borderId="6" xfId="0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0" xfId="6"/>
    <xf numFmtId="168" fontId="7" fillId="0" borderId="0" xfId="5" applyFont="1"/>
    <xf numFmtId="166" fontId="6" fillId="0" borderId="0" xfId="3" applyNumberFormat="1"/>
    <xf numFmtId="10" fontId="6" fillId="0" borderId="0" xfId="5" applyNumberFormat="1"/>
    <xf numFmtId="49" fontId="6" fillId="0" borderId="0" xfId="3" applyNumberFormat="1" applyAlignment="1">
      <alignment horizontal="fill"/>
    </xf>
    <xf numFmtId="169" fontId="8" fillId="0" borderId="0" xfId="2" applyNumberFormat="1" applyFont="1"/>
    <xf numFmtId="0" fontId="0" fillId="0" borderId="0" xfId="7" applyFont="1"/>
    <xf numFmtId="168" fontId="6" fillId="0" borderId="0" xfId="5"/>
    <xf numFmtId="169" fontId="8" fillId="0" borderId="0" xfId="2" applyNumberFormat="1" applyFont="1" applyBorder="1"/>
    <xf numFmtId="37" fontId="8" fillId="0" borderId="0" xfId="7" applyNumberFormat="1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</cellXfs>
  <cellStyles count="13">
    <cellStyle name="Comma" xfId="1" builtinId="3"/>
    <cellStyle name="Comma 2" xfId="2"/>
    <cellStyle name="FRxAmtStyle" xfId="3"/>
    <cellStyle name="FRxCurrStyle" xfId="4"/>
    <cellStyle name="FRxPcntStyle" xfId="5"/>
    <cellStyle name="Normal" xfId="0" builtinId="0"/>
    <cellStyle name="Normal 2" xfId="6"/>
    <cellStyle name="Normal 2 2" xfId="7"/>
    <cellStyle name="Percent" xfId="8" builtinId="5"/>
    <cellStyle name="STYLE1" xfId="9"/>
    <cellStyle name="STYLE1 2" xfId="10"/>
    <cellStyle name="STYLE2" xfId="11"/>
    <cellStyle name="STYLE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3"/>
  <sheetViews>
    <sheetView tabSelected="1" zoomScaleNormal="100" workbookViewId="0">
      <selection activeCell="G8" sqref="G8"/>
    </sheetView>
  </sheetViews>
  <sheetFormatPr defaultRowHeight="12.75"/>
  <cols>
    <col min="2" max="2" width="31" bestFit="1" customWidth="1"/>
    <col min="3" max="3" width="11.7109375" bestFit="1" customWidth="1"/>
    <col min="4" max="5" width="11.28515625" bestFit="1" customWidth="1"/>
  </cols>
  <sheetData>
    <row r="1" spans="1:5">
      <c r="B1" s="41" t="s">
        <v>73</v>
      </c>
      <c r="C1" s="41"/>
      <c r="D1" s="41"/>
      <c r="E1" s="41"/>
    </row>
    <row r="2" spans="1:5">
      <c r="B2" s="41" t="s">
        <v>74</v>
      </c>
      <c r="C2" s="41"/>
      <c r="D2" s="41"/>
      <c r="E2" s="41"/>
    </row>
    <row r="3" spans="1:5">
      <c r="C3" s="3"/>
      <c r="D3" s="3"/>
      <c r="E3" s="3"/>
    </row>
    <row r="4" spans="1:5">
      <c r="C4" s="2" t="s">
        <v>137</v>
      </c>
      <c r="D4" s="2" t="s">
        <v>128</v>
      </c>
      <c r="E4" s="2" t="s">
        <v>103</v>
      </c>
    </row>
    <row r="5" spans="1:5">
      <c r="B5" s="22" t="s">
        <v>0</v>
      </c>
      <c r="C5" s="3"/>
      <c r="D5" s="3"/>
      <c r="E5" s="3"/>
    </row>
    <row r="6" spans="1:5">
      <c r="A6" s="11">
        <v>1</v>
      </c>
      <c r="B6" t="s">
        <v>111</v>
      </c>
      <c r="C6" s="3">
        <v>8600388</v>
      </c>
      <c r="D6" s="3">
        <v>10557208</v>
      </c>
      <c r="E6" s="3">
        <v>9332694</v>
      </c>
    </row>
    <row r="7" spans="1:5">
      <c r="A7" s="11">
        <f>+A6+1</f>
        <v>2</v>
      </c>
      <c r="B7" t="s">
        <v>112</v>
      </c>
      <c r="C7" s="3">
        <v>1919648</v>
      </c>
      <c r="D7" s="3">
        <v>1726459</v>
      </c>
      <c r="E7" s="3">
        <v>3177686</v>
      </c>
    </row>
    <row r="8" spans="1:5">
      <c r="A8" s="11">
        <f t="shared" ref="A8:A52" si="0">+A7+1</f>
        <v>3</v>
      </c>
      <c r="B8" t="s">
        <v>113</v>
      </c>
      <c r="C8" s="3">
        <v>484341</v>
      </c>
      <c r="D8" s="3">
        <v>706042</v>
      </c>
      <c r="E8" s="3">
        <v>964757</v>
      </c>
    </row>
    <row r="9" spans="1:5">
      <c r="A9" s="11">
        <f t="shared" si="0"/>
        <v>4</v>
      </c>
      <c r="B9" t="s">
        <v>11</v>
      </c>
      <c r="C9" s="6">
        <f>+C6-C7-C8</f>
        <v>6196399</v>
      </c>
      <c r="D9" s="6">
        <f>+D6-D7-D8</f>
        <v>8124707</v>
      </c>
      <c r="E9" s="6">
        <f>+E6-E7-E8</f>
        <v>5190251</v>
      </c>
    </row>
    <row r="10" spans="1:5">
      <c r="A10" s="11">
        <f t="shared" si="0"/>
        <v>5</v>
      </c>
      <c r="B10" s="36" t="s">
        <v>136</v>
      </c>
      <c r="C10" s="3">
        <v>-1090329</v>
      </c>
      <c r="D10" s="3">
        <v>2200000</v>
      </c>
      <c r="E10" s="3">
        <f>1600000+29167*5</f>
        <v>1745835</v>
      </c>
    </row>
    <row r="11" spans="1:5" ht="13.5" thickBot="1">
      <c r="A11" s="11">
        <f t="shared" si="0"/>
        <v>6</v>
      </c>
      <c r="B11" t="s">
        <v>114</v>
      </c>
      <c r="C11" s="4">
        <f>+C9-C10</f>
        <v>7286728</v>
      </c>
      <c r="D11" s="4">
        <f>+D9-D10</f>
        <v>5924707</v>
      </c>
      <c r="E11" s="4">
        <f>+E9-E10</f>
        <v>3444416</v>
      </c>
    </row>
    <row r="12" spans="1:5" ht="13.5" thickTop="1">
      <c r="A12" s="11">
        <f t="shared" si="0"/>
        <v>7</v>
      </c>
      <c r="C12" s="3"/>
      <c r="D12" s="3"/>
      <c r="E12" s="3"/>
    </row>
    <row r="13" spans="1:5">
      <c r="A13" s="11">
        <f t="shared" si="0"/>
        <v>8</v>
      </c>
      <c r="B13" t="s">
        <v>115</v>
      </c>
      <c r="C13" s="3">
        <v>0</v>
      </c>
      <c r="D13" s="3">
        <v>578734.48</v>
      </c>
      <c r="E13" s="3">
        <v>2885359</v>
      </c>
    </row>
    <row r="14" spans="1:5">
      <c r="A14" s="11">
        <f t="shared" si="0"/>
        <v>9</v>
      </c>
      <c r="C14" s="3"/>
      <c r="D14" s="3"/>
      <c r="E14" s="3"/>
    </row>
    <row r="15" spans="1:5">
      <c r="A15" s="11">
        <f t="shared" si="0"/>
        <v>10</v>
      </c>
      <c r="B15" t="s">
        <v>1</v>
      </c>
      <c r="C15" s="3">
        <f>C11/(61257469/365)</f>
        <v>43.417656057582136</v>
      </c>
      <c r="D15" s="3">
        <f>D11/(57950683/365)</f>
        <v>37.316524034755552</v>
      </c>
      <c r="E15" s="3">
        <v>34</v>
      </c>
    </row>
    <row r="16" spans="1:5">
      <c r="A16" s="11">
        <f t="shared" si="0"/>
        <v>11</v>
      </c>
      <c r="C16" s="3"/>
      <c r="D16" s="3"/>
      <c r="E16" s="3"/>
    </row>
    <row r="17" spans="1:5">
      <c r="A17" s="11">
        <f t="shared" si="0"/>
        <v>12</v>
      </c>
      <c r="B17" s="22" t="s">
        <v>2</v>
      </c>
      <c r="C17" s="3"/>
      <c r="D17" s="3"/>
      <c r="E17" s="3"/>
    </row>
    <row r="18" spans="1:5">
      <c r="A18" s="11">
        <f t="shared" si="0"/>
        <v>13</v>
      </c>
      <c r="B18" t="s">
        <v>116</v>
      </c>
      <c r="C18" s="3">
        <v>3336214</v>
      </c>
      <c r="D18" s="3">
        <v>2576965</v>
      </c>
      <c r="E18" s="3">
        <v>2448372</v>
      </c>
    </row>
    <row r="19" spans="1:5">
      <c r="A19" s="11">
        <f t="shared" si="0"/>
        <v>14</v>
      </c>
      <c r="B19" t="s">
        <v>117</v>
      </c>
      <c r="C19" s="3">
        <v>3041749</v>
      </c>
      <c r="D19" s="3">
        <v>3142158</v>
      </c>
      <c r="E19" s="3">
        <v>2559602</v>
      </c>
    </row>
    <row r="20" spans="1:5">
      <c r="A20" s="11">
        <f t="shared" si="0"/>
        <v>15</v>
      </c>
      <c r="C20" s="3"/>
      <c r="D20" s="3"/>
      <c r="E20" s="3"/>
    </row>
    <row r="21" spans="1:5">
      <c r="A21" s="11">
        <f t="shared" si="0"/>
        <v>16</v>
      </c>
      <c r="B21" t="s">
        <v>3</v>
      </c>
      <c r="C21" s="5">
        <v>14.2</v>
      </c>
      <c r="D21" s="5">
        <v>14.8</v>
      </c>
      <c r="E21" s="5">
        <v>9.5</v>
      </c>
    </row>
    <row r="22" spans="1:5">
      <c r="A22" s="11">
        <f t="shared" si="0"/>
        <v>17</v>
      </c>
      <c r="C22" s="3"/>
      <c r="D22" s="3"/>
      <c r="E22" s="3"/>
    </row>
    <row r="23" spans="1:5">
      <c r="A23" s="11">
        <f t="shared" si="0"/>
        <v>18</v>
      </c>
      <c r="B23" s="22" t="s">
        <v>4</v>
      </c>
      <c r="C23" s="3"/>
      <c r="D23" s="3"/>
      <c r="E23" s="3"/>
    </row>
    <row r="24" spans="1:5">
      <c r="A24" s="11">
        <f t="shared" si="0"/>
        <v>19</v>
      </c>
      <c r="B24" t="s">
        <v>5</v>
      </c>
      <c r="C24" s="5">
        <f>19677897/6101931</f>
        <v>3.2248638996409498</v>
      </c>
      <c r="D24" s="5">
        <f>19867818/5635607</f>
        <v>3.5254087093014115</v>
      </c>
      <c r="E24" s="5">
        <v>2.93</v>
      </c>
    </row>
    <row r="25" spans="1:5">
      <c r="A25" s="11">
        <f t="shared" si="0"/>
        <v>20</v>
      </c>
      <c r="C25" s="3"/>
      <c r="D25" s="3"/>
      <c r="E25" s="3"/>
    </row>
    <row r="26" spans="1:5">
      <c r="A26" s="11">
        <f t="shared" si="0"/>
        <v>21</v>
      </c>
      <c r="B26" s="22" t="s">
        <v>6</v>
      </c>
      <c r="C26" s="3"/>
      <c r="D26" s="3"/>
      <c r="E26" s="3"/>
    </row>
    <row r="27" spans="1:5">
      <c r="A27" s="11">
        <f t="shared" si="0"/>
        <v>22</v>
      </c>
      <c r="B27" t="s">
        <v>118</v>
      </c>
      <c r="C27" s="35">
        <v>1500000</v>
      </c>
      <c r="D27" s="35">
        <v>1675000</v>
      </c>
      <c r="E27" s="3">
        <v>2095764</v>
      </c>
    </row>
    <row r="28" spans="1:5">
      <c r="A28" s="11">
        <f t="shared" si="0"/>
        <v>23</v>
      </c>
      <c r="B28" t="s">
        <v>119</v>
      </c>
      <c r="C28" s="3">
        <v>1649957</v>
      </c>
      <c r="D28" s="3">
        <v>1388474</v>
      </c>
      <c r="E28" s="3">
        <v>2077802</v>
      </c>
    </row>
    <row r="29" spans="1:5">
      <c r="A29" s="11">
        <f t="shared" si="0"/>
        <v>24</v>
      </c>
      <c r="B29" t="s">
        <v>120</v>
      </c>
      <c r="C29" s="3">
        <v>3668254</v>
      </c>
      <c r="D29" s="3">
        <f>1162283+5071981+2616128+512623</f>
        <v>9363015</v>
      </c>
      <c r="E29" s="3">
        <f>5081554+863628</f>
        <v>5945182</v>
      </c>
    </row>
    <row r="30" spans="1:5">
      <c r="A30" s="11">
        <f t="shared" si="0"/>
        <v>25</v>
      </c>
      <c r="C30" s="3"/>
      <c r="D30" s="3"/>
      <c r="E30" s="3"/>
    </row>
    <row r="31" spans="1:5">
      <c r="A31" s="11">
        <f t="shared" si="0"/>
        <v>26</v>
      </c>
      <c r="B31" t="s">
        <v>12</v>
      </c>
      <c r="C31" s="3">
        <v>21111897</v>
      </c>
      <c r="D31" s="3">
        <v>19253503</v>
      </c>
      <c r="E31" s="3">
        <v>24980495</v>
      </c>
    </row>
    <row r="32" spans="1:5">
      <c r="A32" s="11">
        <f t="shared" si="0"/>
        <v>27</v>
      </c>
      <c r="B32" t="s">
        <v>85</v>
      </c>
      <c r="C32" s="3">
        <v>200880</v>
      </c>
      <c r="D32" s="3">
        <v>245292</v>
      </c>
      <c r="E32" s="3">
        <v>300609</v>
      </c>
    </row>
    <row r="33" spans="1:5">
      <c r="A33" s="11">
        <f t="shared" si="0"/>
        <v>28</v>
      </c>
      <c r="B33" t="s">
        <v>13</v>
      </c>
      <c r="C33" s="3">
        <f>247906-185959-46974</f>
        <v>14973</v>
      </c>
      <c r="D33" s="3">
        <f>673681+177576-27242</f>
        <v>824015</v>
      </c>
      <c r="E33" s="3">
        <f>1278128+12007</f>
        <v>1290135</v>
      </c>
    </row>
    <row r="34" spans="1:5">
      <c r="A34" s="11">
        <f t="shared" si="0"/>
        <v>29</v>
      </c>
      <c r="B34" t="s">
        <v>121</v>
      </c>
      <c r="C34" s="3">
        <v>2575850</v>
      </c>
      <c r="D34" s="3">
        <v>-5949426</v>
      </c>
      <c r="E34" s="3">
        <v>-1756840</v>
      </c>
    </row>
    <row r="35" spans="1:5">
      <c r="A35" s="11">
        <f t="shared" si="0"/>
        <v>30</v>
      </c>
      <c r="B35" t="s">
        <v>14</v>
      </c>
      <c r="C35" s="3">
        <f>326617+794146</f>
        <v>1120763</v>
      </c>
      <c r="D35" s="3">
        <f>192037+633709</f>
        <v>825746</v>
      </c>
      <c r="E35" s="3">
        <f>190754+615775+12567</f>
        <v>819096</v>
      </c>
    </row>
    <row r="36" spans="1:5">
      <c r="A36" s="11">
        <f t="shared" si="0"/>
        <v>31</v>
      </c>
      <c r="C36" s="3"/>
      <c r="D36" s="3"/>
      <c r="E36" s="3"/>
    </row>
    <row r="37" spans="1:5">
      <c r="A37" s="11">
        <f t="shared" si="0"/>
        <v>32</v>
      </c>
      <c r="B37" s="22" t="s">
        <v>8</v>
      </c>
      <c r="C37" s="3"/>
      <c r="D37" s="3"/>
      <c r="E37" s="3"/>
    </row>
    <row r="38" spans="1:5">
      <c r="A38" s="11">
        <f t="shared" si="0"/>
        <v>33</v>
      </c>
      <c r="B38" t="s">
        <v>9</v>
      </c>
      <c r="C38" s="3">
        <v>20097307</v>
      </c>
      <c r="D38" s="3">
        <v>21405000</v>
      </c>
      <c r="E38" s="3">
        <v>13677872</v>
      </c>
    </row>
    <row r="39" spans="1:5">
      <c r="A39" s="11">
        <f t="shared" si="0"/>
        <v>34</v>
      </c>
      <c r="B39" t="s">
        <v>10</v>
      </c>
      <c r="C39" s="3">
        <v>1500000</v>
      </c>
      <c r="D39" s="3">
        <v>1500000</v>
      </c>
      <c r="E39" s="3">
        <v>880000</v>
      </c>
    </row>
    <row r="40" spans="1:5">
      <c r="A40" s="11">
        <f t="shared" si="0"/>
        <v>35</v>
      </c>
      <c r="B40" t="s">
        <v>52</v>
      </c>
      <c r="C40" s="3">
        <v>0</v>
      </c>
      <c r="D40" s="3">
        <v>0</v>
      </c>
      <c r="E40" s="3">
        <v>0</v>
      </c>
    </row>
    <row r="41" spans="1:5">
      <c r="A41" s="11">
        <f t="shared" si="0"/>
        <v>36</v>
      </c>
      <c r="C41" s="3"/>
      <c r="D41" s="3"/>
      <c r="E41" s="3"/>
    </row>
    <row r="42" spans="1:5">
      <c r="A42" s="11">
        <f t="shared" si="0"/>
        <v>37</v>
      </c>
      <c r="B42" s="22" t="s">
        <v>15</v>
      </c>
      <c r="C42" s="3"/>
      <c r="D42" s="3"/>
      <c r="E42" s="3"/>
    </row>
    <row r="43" spans="1:5">
      <c r="A43" s="11">
        <f t="shared" si="0"/>
        <v>38</v>
      </c>
      <c r="B43" s="23" t="s">
        <v>122</v>
      </c>
      <c r="C43" s="24">
        <f>292453+7276762+1257501</f>
        <v>8826716</v>
      </c>
      <c r="D43" s="24">
        <f>409924+6845467+1314817</f>
        <v>8570208</v>
      </c>
      <c r="E43" s="24">
        <v>7614025</v>
      </c>
    </row>
    <row r="44" spans="1:5">
      <c r="A44" s="11">
        <f t="shared" si="0"/>
        <v>39</v>
      </c>
      <c r="B44" s="25" t="s">
        <v>123</v>
      </c>
      <c r="C44" s="24">
        <v>39881826</v>
      </c>
      <c r="D44" s="24">
        <f>34978463.48+1356043.7+1713195</f>
        <v>38047702.18</v>
      </c>
      <c r="E44" s="24">
        <v>35065881</v>
      </c>
    </row>
    <row r="45" spans="1:5">
      <c r="A45" s="11">
        <f t="shared" si="0"/>
        <v>40</v>
      </c>
      <c r="B45" s="25" t="s">
        <v>124</v>
      </c>
      <c r="C45" s="26">
        <f>+C43/C44</f>
        <v>0.22132176194740932</v>
      </c>
      <c r="D45" s="26">
        <f>+D43/D44</f>
        <v>0.22524902974311498</v>
      </c>
      <c r="E45" s="26">
        <f>+E43/E44</f>
        <v>0.21713485538834743</v>
      </c>
    </row>
    <row r="46" spans="1:5">
      <c r="A46" s="11">
        <f t="shared" si="0"/>
        <v>41</v>
      </c>
      <c r="B46" s="25" t="s">
        <v>125</v>
      </c>
      <c r="C46" s="26">
        <v>0.22</v>
      </c>
      <c r="D46" s="26">
        <f>(355000+5557107+800000)/(31470439+967725+1085137)</f>
        <v>0.20022213802871025</v>
      </c>
      <c r="E46" s="26">
        <f>(355000+5557107+800000)/(31470439+967725+1085137)</f>
        <v>0.20022213802871025</v>
      </c>
    </row>
    <row r="47" spans="1:5">
      <c r="A47" s="11">
        <f t="shared" si="0"/>
        <v>42</v>
      </c>
      <c r="C47" s="3"/>
      <c r="D47" s="3"/>
      <c r="E47" s="3"/>
    </row>
    <row r="48" spans="1:5">
      <c r="A48" s="11">
        <f t="shared" si="0"/>
        <v>43</v>
      </c>
      <c r="B48" t="s">
        <v>126</v>
      </c>
      <c r="C48" s="38">
        <v>2170</v>
      </c>
      <c r="D48" s="3">
        <v>2116</v>
      </c>
      <c r="E48" s="3">
        <v>2086</v>
      </c>
    </row>
    <row r="49" spans="1:5">
      <c r="A49" s="11">
        <f t="shared" si="0"/>
        <v>44</v>
      </c>
      <c r="B49" t="s">
        <v>127</v>
      </c>
      <c r="C49" s="39">
        <v>2241</v>
      </c>
      <c r="D49" s="3">
        <v>2213</v>
      </c>
      <c r="E49" s="3">
        <v>2163</v>
      </c>
    </row>
    <row r="50" spans="1:5">
      <c r="A50" s="11">
        <f t="shared" si="0"/>
        <v>45</v>
      </c>
      <c r="C50" s="3"/>
      <c r="D50" s="3"/>
      <c r="E50" s="3"/>
    </row>
    <row r="51" spans="1:5">
      <c r="A51" s="11">
        <f t="shared" si="0"/>
        <v>46</v>
      </c>
      <c r="B51" s="8" t="s">
        <v>51</v>
      </c>
      <c r="C51" s="27">
        <v>2.2999999999999998</v>
      </c>
      <c r="D51" s="27">
        <v>1.4</v>
      </c>
      <c r="E51" s="28">
        <v>2.31</v>
      </c>
    </row>
    <row r="52" spans="1:5">
      <c r="A52" s="11">
        <f t="shared" si="0"/>
        <v>47</v>
      </c>
      <c r="B52" s="9" t="s">
        <v>84</v>
      </c>
      <c r="C52" s="29" t="s">
        <v>138</v>
      </c>
      <c r="D52" s="29" t="s">
        <v>135</v>
      </c>
      <c r="E52" s="40" t="s">
        <v>86</v>
      </c>
    </row>
    <row r="53" spans="1:5">
      <c r="C53" s="3"/>
      <c r="D53" s="3"/>
      <c r="E53" s="3"/>
    </row>
  </sheetData>
  <mergeCells count="2">
    <mergeCell ref="B1:E1"/>
    <mergeCell ref="B2:E2"/>
  </mergeCells>
  <phoneticPr fontId="3" type="noConversion"/>
  <pageMargins left="1.5" right="0.75" top="1" bottom="1" header="0.5" footer="0.5"/>
  <pageSetup scale="9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1"/>
  <sheetViews>
    <sheetView zoomScaleNormal="100" workbookViewId="0">
      <selection activeCell="C68" sqref="C68"/>
    </sheetView>
  </sheetViews>
  <sheetFormatPr defaultRowHeight="12.75"/>
  <cols>
    <col min="2" max="2" width="25.5703125" customWidth="1"/>
    <col min="3" max="5" width="11.28515625" customWidth="1"/>
    <col min="6" max="7" width="11.85546875" bestFit="1" customWidth="1"/>
    <col min="8" max="8" width="11.140625" bestFit="1" customWidth="1"/>
  </cols>
  <sheetData>
    <row r="1" spans="1:8">
      <c r="B1" s="41" t="s">
        <v>82</v>
      </c>
      <c r="C1" s="41"/>
      <c r="D1" s="41"/>
      <c r="E1" s="41"/>
      <c r="F1" s="41"/>
      <c r="G1" s="41"/>
    </row>
    <row r="2" spans="1:8">
      <c r="B2" s="41" t="s">
        <v>83</v>
      </c>
      <c r="C2" s="41"/>
      <c r="D2" s="41"/>
      <c r="E2" s="41"/>
      <c r="F2" s="41"/>
      <c r="G2" s="41"/>
    </row>
    <row r="3" spans="1:8">
      <c r="B3" s="41" t="s">
        <v>139</v>
      </c>
      <c r="C3" s="41"/>
      <c r="D3" s="41"/>
      <c r="E3" s="41"/>
      <c r="F3" s="41"/>
      <c r="G3" s="41"/>
    </row>
    <row r="5" spans="1:8">
      <c r="C5" s="14" t="s">
        <v>138</v>
      </c>
      <c r="D5" s="14" t="s">
        <v>135</v>
      </c>
      <c r="E5" s="14" t="s">
        <v>138</v>
      </c>
      <c r="F5" s="14" t="s">
        <v>87</v>
      </c>
      <c r="G5" s="14" t="s">
        <v>88</v>
      </c>
      <c r="H5" s="14" t="s">
        <v>135</v>
      </c>
    </row>
    <row r="6" spans="1:8">
      <c r="B6" s="12" t="s">
        <v>89</v>
      </c>
      <c r="C6" s="15" t="s">
        <v>76</v>
      </c>
      <c r="D6" s="15" t="s">
        <v>76</v>
      </c>
      <c r="E6" s="15" t="s">
        <v>55</v>
      </c>
      <c r="F6" s="15" t="s">
        <v>55</v>
      </c>
      <c r="G6" s="15" t="s">
        <v>55</v>
      </c>
      <c r="H6" s="15" t="s">
        <v>77</v>
      </c>
    </row>
    <row r="7" spans="1:8">
      <c r="B7" s="10"/>
      <c r="C7" s="10"/>
      <c r="D7" s="10"/>
      <c r="E7" s="10"/>
      <c r="F7" s="10"/>
      <c r="G7" s="10"/>
    </row>
    <row r="8" spans="1:8">
      <c r="A8" s="11">
        <v>1</v>
      </c>
      <c r="B8" s="11" t="s">
        <v>90</v>
      </c>
      <c r="C8" s="32">
        <v>38237674</v>
      </c>
      <c r="D8" s="32">
        <v>36372243</v>
      </c>
      <c r="E8" s="32">
        <v>37039591</v>
      </c>
      <c r="F8" s="33">
        <v>1.0323460105161499</v>
      </c>
      <c r="G8" s="33">
        <v>1.04028375543359</v>
      </c>
      <c r="H8" s="32">
        <v>36372243</v>
      </c>
    </row>
    <row r="9" spans="1:8">
      <c r="A9" s="11">
        <f>+A8+1</f>
        <v>2</v>
      </c>
      <c r="B9" s="11" t="s">
        <v>91</v>
      </c>
      <c r="C9" s="18">
        <v>2024358</v>
      </c>
      <c r="D9" s="18">
        <v>1876643</v>
      </c>
      <c r="E9" s="18">
        <v>2076284</v>
      </c>
      <c r="F9" s="33">
        <v>0.97499089719903398</v>
      </c>
      <c r="G9" s="33">
        <v>1.0592712046944199</v>
      </c>
      <c r="H9" s="18">
        <v>1876643</v>
      </c>
    </row>
    <row r="10" spans="1:8">
      <c r="A10" s="11">
        <f t="shared" ref="A10:A66" si="0">+A9+1</f>
        <v>3</v>
      </c>
      <c r="B10" s="11" t="s">
        <v>92</v>
      </c>
      <c r="C10" s="18">
        <v>2965676</v>
      </c>
      <c r="D10" s="18">
        <v>3051457</v>
      </c>
      <c r="E10" s="18">
        <v>2760631</v>
      </c>
      <c r="F10" s="33">
        <v>1.07427468575119</v>
      </c>
      <c r="G10" s="33">
        <v>1.08589568350828</v>
      </c>
      <c r="H10" s="18">
        <v>3051457</v>
      </c>
    </row>
    <row r="11" spans="1:8">
      <c r="A11" s="11">
        <f t="shared" si="0"/>
        <v>4</v>
      </c>
      <c r="B11" s="11" t="s">
        <v>53</v>
      </c>
      <c r="C11" s="18">
        <v>-10438314</v>
      </c>
      <c r="D11" s="18">
        <v>-10049456</v>
      </c>
      <c r="E11" s="18">
        <v>-9431099</v>
      </c>
      <c r="F11" s="33">
        <v>1.1067972035920699</v>
      </c>
      <c r="G11" s="33">
        <v>1.1723098261796201</v>
      </c>
      <c r="H11" s="18">
        <v>-10049456</v>
      </c>
    </row>
    <row r="12" spans="1:8">
      <c r="A12" s="11">
        <f t="shared" si="0"/>
        <v>5</v>
      </c>
      <c r="B12" s="11" t="s">
        <v>130</v>
      </c>
      <c r="C12" s="18">
        <v>751161</v>
      </c>
      <c r="D12" s="18">
        <v>1108110</v>
      </c>
      <c r="E12" s="18">
        <v>606863</v>
      </c>
      <c r="F12" s="33">
        <v>1.2377768952794901</v>
      </c>
      <c r="G12" s="33">
        <v>0.97140427620909398</v>
      </c>
      <c r="H12" s="18">
        <v>1108110</v>
      </c>
    </row>
    <row r="13" spans="1:8">
      <c r="A13" s="11">
        <f t="shared" si="0"/>
        <v>6</v>
      </c>
      <c r="B13" s="11" t="s">
        <v>40</v>
      </c>
      <c r="C13" s="18">
        <v>5268437</v>
      </c>
      <c r="D13" s="18">
        <v>5016329</v>
      </c>
      <c r="E13" s="18">
        <v>4881950</v>
      </c>
      <c r="F13" s="33">
        <v>1.07916652157437</v>
      </c>
      <c r="G13" s="33">
        <v>1.0623539253266701</v>
      </c>
      <c r="H13" s="18">
        <v>5016329</v>
      </c>
    </row>
    <row r="14" spans="1:8">
      <c r="A14" s="11">
        <f t="shared" si="0"/>
        <v>7</v>
      </c>
      <c r="B14" s="11" t="s">
        <v>35</v>
      </c>
      <c r="C14" s="18">
        <v>1752584</v>
      </c>
      <c r="D14" s="18">
        <v>1400149</v>
      </c>
      <c r="E14" s="18">
        <v>1554580</v>
      </c>
      <c r="F14" s="33">
        <v>1.1273681637484101</v>
      </c>
      <c r="G14" s="33">
        <v>1.0771785541186201</v>
      </c>
      <c r="H14" s="18">
        <v>1400149</v>
      </c>
    </row>
    <row r="15" spans="1:8">
      <c r="A15" s="11">
        <f t="shared" si="0"/>
        <v>8</v>
      </c>
      <c r="B15" s="11" t="s">
        <v>37</v>
      </c>
      <c r="C15" s="18">
        <v>303583</v>
      </c>
      <c r="D15" s="18">
        <v>336718</v>
      </c>
      <c r="E15" s="18">
        <v>280000</v>
      </c>
      <c r="F15" s="33">
        <v>1.084225</v>
      </c>
      <c r="G15" s="33">
        <v>1.20256428571429</v>
      </c>
      <c r="H15" s="18">
        <v>336718</v>
      </c>
    </row>
    <row r="16" spans="1:8">
      <c r="A16" s="11">
        <f t="shared" si="0"/>
        <v>9</v>
      </c>
      <c r="B16" s="11" t="s">
        <v>54</v>
      </c>
      <c r="C16" s="18">
        <v>1915959</v>
      </c>
      <c r="D16" s="18">
        <v>1912100</v>
      </c>
      <c r="E16" s="18">
        <v>1774588</v>
      </c>
      <c r="F16" s="33">
        <v>1.0796641248560199</v>
      </c>
      <c r="G16" s="33">
        <v>1.29264595927297</v>
      </c>
      <c r="H16" s="18">
        <v>1912100</v>
      </c>
    </row>
    <row r="17" spans="1:8">
      <c r="A17" s="11">
        <f t="shared" si="0"/>
        <v>10</v>
      </c>
      <c r="B17" s="11" t="s">
        <v>38</v>
      </c>
      <c r="C17" s="19">
        <v>410494</v>
      </c>
      <c r="D17" s="19">
        <v>357821</v>
      </c>
      <c r="E17" s="19">
        <v>288086</v>
      </c>
      <c r="F17" s="16">
        <v>1.4249008976486199</v>
      </c>
      <c r="G17" s="16">
        <v>1.21989976817128</v>
      </c>
      <c r="H17" s="19">
        <v>357821</v>
      </c>
    </row>
    <row r="18" spans="1:8">
      <c r="A18" s="11">
        <f t="shared" si="0"/>
        <v>11</v>
      </c>
      <c r="B18" s="11" t="s">
        <v>131</v>
      </c>
      <c r="C18" s="18">
        <v>43191612</v>
      </c>
      <c r="D18" s="18">
        <v>41382114</v>
      </c>
      <c r="E18" s="18">
        <v>41831474</v>
      </c>
      <c r="F18" s="33">
        <v>1.03251470411968</v>
      </c>
      <c r="G18" s="33">
        <v>1.0297098926899499</v>
      </c>
      <c r="H18" s="18">
        <v>41382114</v>
      </c>
    </row>
    <row r="19" spans="1:8">
      <c r="A19" s="11">
        <f t="shared" si="0"/>
        <v>12</v>
      </c>
      <c r="C19" s="18"/>
      <c r="D19" s="18"/>
      <c r="E19" s="18"/>
      <c r="F19" s="37"/>
      <c r="G19" s="37"/>
      <c r="H19" s="18"/>
    </row>
    <row r="20" spans="1:8">
      <c r="A20" s="11">
        <f t="shared" si="0"/>
        <v>13</v>
      </c>
      <c r="B20" s="11" t="s">
        <v>93</v>
      </c>
      <c r="C20" s="18">
        <v>13283934</v>
      </c>
      <c r="D20" s="18">
        <v>13128453</v>
      </c>
      <c r="E20" s="18">
        <v>13452650</v>
      </c>
      <c r="F20" s="33">
        <v>0.98745853047540799</v>
      </c>
      <c r="G20" s="33">
        <v>0.99522765084876796</v>
      </c>
      <c r="H20" s="18">
        <v>13128453</v>
      </c>
    </row>
    <row r="21" spans="1:8">
      <c r="A21" s="11">
        <f t="shared" si="0"/>
        <v>14</v>
      </c>
      <c r="B21" s="11" t="s">
        <v>94</v>
      </c>
      <c r="C21" s="18">
        <v>5448022</v>
      </c>
      <c r="D21" s="18">
        <v>5284199</v>
      </c>
      <c r="E21" s="18">
        <v>5257468</v>
      </c>
      <c r="F21" s="33">
        <v>1.0362444431425899</v>
      </c>
      <c r="G21" s="33">
        <v>1.0028200880603799</v>
      </c>
      <c r="H21" s="18">
        <v>5284199</v>
      </c>
    </row>
    <row r="22" spans="1:8">
      <c r="A22" s="11">
        <f t="shared" si="0"/>
        <v>15</v>
      </c>
      <c r="B22" s="11" t="s">
        <v>95</v>
      </c>
      <c r="C22" s="18">
        <v>2478404</v>
      </c>
      <c r="D22" s="18">
        <v>2098492</v>
      </c>
      <c r="E22" s="18">
        <v>2202675</v>
      </c>
      <c r="F22" s="33">
        <v>1.12517915716118</v>
      </c>
      <c r="G22" s="33">
        <v>0.99422791287147505</v>
      </c>
      <c r="H22" s="18">
        <v>2098492</v>
      </c>
    </row>
    <row r="23" spans="1:8">
      <c r="A23" s="11">
        <f t="shared" si="0"/>
        <v>16</v>
      </c>
      <c r="B23" s="11" t="s">
        <v>96</v>
      </c>
      <c r="C23" s="18">
        <v>8000227</v>
      </c>
      <c r="D23" s="18">
        <v>7437174</v>
      </c>
      <c r="E23" s="18">
        <v>8234060</v>
      </c>
      <c r="F23" s="33">
        <v>0.97160173717461396</v>
      </c>
      <c r="G23" s="33">
        <v>0.94275218379498005</v>
      </c>
      <c r="H23" s="18">
        <v>7437174</v>
      </c>
    </row>
    <row r="24" spans="1:8">
      <c r="A24" s="11">
        <f t="shared" si="0"/>
        <v>17</v>
      </c>
      <c r="B24" s="11" t="s">
        <v>132</v>
      </c>
      <c r="C24" s="18">
        <v>2156600</v>
      </c>
      <c r="D24" s="18">
        <v>2323969</v>
      </c>
      <c r="E24" s="18">
        <v>2072181</v>
      </c>
      <c r="F24" s="33">
        <v>1.0407392018361299</v>
      </c>
      <c r="G24" s="33">
        <v>1.16273911768738</v>
      </c>
      <c r="H24" s="18">
        <v>2323969</v>
      </c>
    </row>
    <row r="25" spans="1:8">
      <c r="A25" s="11">
        <f t="shared" si="0"/>
        <v>18</v>
      </c>
      <c r="B25" s="11" t="s">
        <v>97</v>
      </c>
      <c r="C25" s="18">
        <v>1103805</v>
      </c>
      <c r="D25" s="18">
        <v>1137593</v>
      </c>
      <c r="E25" s="18">
        <v>1113973</v>
      </c>
      <c r="F25" s="33">
        <v>0.99087231019064204</v>
      </c>
      <c r="G25" s="33">
        <v>1.15158125753528</v>
      </c>
      <c r="H25" s="18">
        <v>1137593</v>
      </c>
    </row>
    <row r="26" spans="1:8">
      <c r="A26" s="11">
        <f t="shared" si="0"/>
        <v>19</v>
      </c>
      <c r="B26" s="11" t="s">
        <v>98</v>
      </c>
      <c r="C26" s="18">
        <v>1077424</v>
      </c>
      <c r="D26" s="18">
        <v>1828066</v>
      </c>
      <c r="E26" s="18">
        <v>971750</v>
      </c>
      <c r="F26" s="33">
        <v>1.1087460766658099</v>
      </c>
      <c r="G26" s="33">
        <v>1.1011119142271999</v>
      </c>
      <c r="H26" s="18">
        <v>1828066</v>
      </c>
    </row>
    <row r="27" spans="1:8">
      <c r="A27" s="11">
        <f t="shared" si="0"/>
        <v>20</v>
      </c>
      <c r="B27" s="11" t="s">
        <v>99</v>
      </c>
      <c r="C27" s="18">
        <v>8452133</v>
      </c>
      <c r="D27" s="18">
        <v>7460338</v>
      </c>
      <c r="E27" s="18">
        <v>7263168</v>
      </c>
      <c r="F27" s="33">
        <v>1.1636978519566099</v>
      </c>
      <c r="G27" s="33">
        <v>1.0941170845828601</v>
      </c>
      <c r="H27" s="18">
        <v>7460338</v>
      </c>
    </row>
    <row r="28" spans="1:8">
      <c r="A28" s="11">
        <f t="shared" si="0"/>
        <v>21</v>
      </c>
      <c r="B28" s="11" t="s">
        <v>100</v>
      </c>
      <c r="C28" s="18">
        <v>1631577</v>
      </c>
      <c r="D28" s="18">
        <v>1515923</v>
      </c>
      <c r="E28" s="18">
        <v>1562640</v>
      </c>
      <c r="F28" s="33">
        <v>1.0441157272308399</v>
      </c>
      <c r="G28" s="33">
        <v>1.08241556586933</v>
      </c>
      <c r="H28" s="18">
        <v>1515923</v>
      </c>
    </row>
    <row r="29" spans="1:8">
      <c r="A29" s="11">
        <f t="shared" si="0"/>
        <v>22</v>
      </c>
      <c r="B29" s="11" t="s">
        <v>101</v>
      </c>
      <c r="C29" s="18">
        <v>606658</v>
      </c>
      <c r="D29" s="18">
        <v>517327</v>
      </c>
      <c r="E29" s="18">
        <v>472980</v>
      </c>
      <c r="F29" s="33">
        <v>1.2826292866505999</v>
      </c>
      <c r="G29" s="33">
        <v>0.99102131360461598</v>
      </c>
      <c r="H29" s="18">
        <v>517327</v>
      </c>
    </row>
    <row r="30" spans="1:8">
      <c r="A30" s="11">
        <f t="shared" si="0"/>
        <v>23</v>
      </c>
      <c r="B30" s="11" t="s">
        <v>7</v>
      </c>
      <c r="C30" s="18">
        <v>2209222</v>
      </c>
      <c r="D30" s="18">
        <v>1958245</v>
      </c>
      <c r="E30" s="18">
        <v>1849100</v>
      </c>
      <c r="F30" s="33">
        <v>1.19475528635552</v>
      </c>
      <c r="G30" s="33">
        <v>1.1485307917888601</v>
      </c>
      <c r="H30" s="18">
        <v>1958245</v>
      </c>
    </row>
    <row r="31" spans="1:8">
      <c r="A31" s="11">
        <f t="shared" si="0"/>
        <v>24</v>
      </c>
      <c r="B31" s="11" t="s">
        <v>41</v>
      </c>
      <c r="C31" s="18">
        <v>774489</v>
      </c>
      <c r="D31" s="18">
        <v>695241</v>
      </c>
      <c r="E31" s="18">
        <v>720700</v>
      </c>
      <c r="F31" s="33">
        <v>1.0746343832385199</v>
      </c>
      <c r="G31" s="33">
        <v>1.0979801010739101</v>
      </c>
      <c r="H31" s="18">
        <v>695241</v>
      </c>
    </row>
    <row r="32" spans="1:8">
      <c r="A32" s="11">
        <f t="shared" si="0"/>
        <v>25</v>
      </c>
      <c r="B32" s="11" t="s">
        <v>102</v>
      </c>
      <c r="C32" s="19">
        <v>-3495895</v>
      </c>
      <c r="D32" s="19">
        <v>-3412999</v>
      </c>
      <c r="E32" s="19">
        <v>-3414227</v>
      </c>
      <c r="F32" s="16">
        <v>1.0239199092503199</v>
      </c>
      <c r="G32" s="16">
        <v>0.85354593043786198</v>
      </c>
      <c r="H32" s="19">
        <v>-3412999</v>
      </c>
    </row>
    <row r="33" spans="1:8">
      <c r="A33" s="11">
        <f t="shared" si="0"/>
        <v>26</v>
      </c>
      <c r="B33" s="11" t="s">
        <v>42</v>
      </c>
      <c r="C33" s="18">
        <v>43726600</v>
      </c>
      <c r="D33" s="18">
        <v>41972021</v>
      </c>
      <c r="E33" s="18">
        <v>41759118</v>
      </c>
      <c r="F33" s="33">
        <v>1.0471150276689301</v>
      </c>
      <c r="G33" s="33">
        <v>1.04440071902669</v>
      </c>
      <c r="H33" s="18">
        <v>41972021</v>
      </c>
    </row>
    <row r="34" spans="1:8" ht="13.5" thickBot="1">
      <c r="A34" s="11">
        <f t="shared" si="0"/>
        <v>27</v>
      </c>
      <c r="B34" s="11" t="s">
        <v>43</v>
      </c>
      <c r="C34" s="20">
        <v>-534988</v>
      </c>
      <c r="D34" s="20">
        <v>-589907</v>
      </c>
      <c r="E34" s="20">
        <v>72356</v>
      </c>
      <c r="F34" s="17">
        <v>-7.3938305047266297</v>
      </c>
      <c r="G34" s="17">
        <v>-1257.79744136461</v>
      </c>
      <c r="H34" s="20">
        <v>-589907</v>
      </c>
    </row>
    <row r="35" spans="1:8" ht="13.5" thickTop="1">
      <c r="A35" s="11">
        <f t="shared" si="0"/>
        <v>28</v>
      </c>
      <c r="C35" s="34"/>
      <c r="D35" s="34"/>
      <c r="E35" s="34"/>
      <c r="F35" s="34"/>
      <c r="G35" s="34"/>
      <c r="H35" s="34"/>
    </row>
    <row r="36" spans="1:8">
      <c r="A36" s="11">
        <f t="shared" si="0"/>
        <v>29</v>
      </c>
      <c r="B36" s="11" t="s">
        <v>44</v>
      </c>
      <c r="C36" s="18"/>
      <c r="D36" s="18"/>
      <c r="E36" s="18"/>
      <c r="F36" s="37"/>
      <c r="G36" s="37"/>
      <c r="H36" s="18"/>
    </row>
    <row r="37" spans="1:8">
      <c r="A37" s="11">
        <f t="shared" si="0"/>
        <v>30</v>
      </c>
      <c r="B37" s="11" t="s">
        <v>45</v>
      </c>
      <c r="C37" s="18">
        <v>-534988</v>
      </c>
      <c r="D37" s="18">
        <v>-589911</v>
      </c>
      <c r="E37" s="18">
        <v>72356</v>
      </c>
      <c r="F37" s="33">
        <v>-7.3938305047266297</v>
      </c>
      <c r="G37" s="33">
        <v>-1257.80597014925</v>
      </c>
      <c r="H37" s="18">
        <v>-589911</v>
      </c>
    </row>
    <row r="38" spans="1:8">
      <c r="A38" s="11">
        <f t="shared" si="0"/>
        <v>31</v>
      </c>
      <c r="B38" s="11" t="s">
        <v>46</v>
      </c>
      <c r="C38" s="18">
        <v>1077435</v>
      </c>
      <c r="D38" s="18">
        <v>1390461</v>
      </c>
      <c r="E38" s="18">
        <v>809812</v>
      </c>
      <c r="F38" s="33">
        <v>1.3304754683803199</v>
      </c>
      <c r="G38" s="33">
        <v>2.0636108637577899</v>
      </c>
      <c r="H38" s="18">
        <v>1390461</v>
      </c>
    </row>
    <row r="39" spans="1:8">
      <c r="A39" s="11">
        <f t="shared" si="0"/>
        <v>32</v>
      </c>
      <c r="B39" s="11" t="s">
        <v>47</v>
      </c>
      <c r="C39" s="18">
        <v>-21115</v>
      </c>
      <c r="D39" s="18">
        <v>737278</v>
      </c>
      <c r="E39" s="18">
        <v>87832</v>
      </c>
      <c r="F39" s="33">
        <v>-0.240402131341652</v>
      </c>
      <c r="G39" s="33">
        <v>6.97314883998071</v>
      </c>
      <c r="H39" s="18">
        <v>737278</v>
      </c>
    </row>
    <row r="40" spans="1:8" ht="13.5" thickBot="1">
      <c r="A40" s="11">
        <f t="shared" si="0"/>
        <v>33</v>
      </c>
      <c r="B40" s="11" t="s">
        <v>43</v>
      </c>
      <c r="C40" s="20">
        <v>521332</v>
      </c>
      <c r="D40" s="20">
        <v>1537828</v>
      </c>
      <c r="E40" s="20">
        <v>970000</v>
      </c>
      <c r="F40" s="17">
        <v>0.53745567010309303</v>
      </c>
      <c r="G40" s="17">
        <v>1.97157435897436</v>
      </c>
      <c r="H40" s="20">
        <v>1537828</v>
      </c>
    </row>
    <row r="41" spans="1:8" ht="13.5" thickTop="1">
      <c r="A41" s="11">
        <f t="shared" si="0"/>
        <v>34</v>
      </c>
      <c r="C41" s="34"/>
      <c r="D41" s="34"/>
      <c r="E41" s="34"/>
      <c r="F41" s="34"/>
      <c r="G41" s="34"/>
      <c r="H41" s="34"/>
    </row>
    <row r="42" spans="1:8">
      <c r="A42" s="11">
        <f t="shared" si="0"/>
        <v>35</v>
      </c>
      <c r="B42" s="12" t="s">
        <v>133</v>
      </c>
      <c r="C42" s="13"/>
      <c r="D42" s="13"/>
      <c r="E42" s="13"/>
      <c r="F42" s="31"/>
      <c r="G42" s="31"/>
      <c r="H42" s="13"/>
    </row>
    <row r="43" spans="1:8">
      <c r="A43" s="11">
        <f t="shared" si="0"/>
        <v>36</v>
      </c>
      <c r="B43" s="11" t="s">
        <v>56</v>
      </c>
      <c r="C43" s="18">
        <v>-88239</v>
      </c>
      <c r="D43" s="18">
        <v>-127808</v>
      </c>
      <c r="E43" s="18">
        <v>-103000</v>
      </c>
      <c r="F43" s="33">
        <v>0.85668932038835</v>
      </c>
      <c r="G43" s="33">
        <v>0.91509089477113403</v>
      </c>
      <c r="H43" s="18">
        <v>-127808</v>
      </c>
    </row>
    <row r="44" spans="1:8">
      <c r="A44" s="11">
        <f t="shared" si="0"/>
        <v>37</v>
      </c>
      <c r="B44" s="11" t="s">
        <v>57</v>
      </c>
      <c r="C44" s="18">
        <v>291580</v>
      </c>
      <c r="D44" s="18">
        <v>287166</v>
      </c>
      <c r="E44" s="18">
        <v>233000</v>
      </c>
      <c r="F44" s="33">
        <v>1.25141630901288</v>
      </c>
      <c r="G44" s="33">
        <v>1.3875568956020099</v>
      </c>
      <c r="H44" s="18">
        <v>287166</v>
      </c>
    </row>
    <row r="45" spans="1:8">
      <c r="A45" s="11">
        <f t="shared" si="0"/>
        <v>38</v>
      </c>
      <c r="B45" s="11" t="s">
        <v>58</v>
      </c>
      <c r="C45" s="18">
        <v>96044</v>
      </c>
      <c r="D45" s="18">
        <v>119883</v>
      </c>
      <c r="E45" s="18">
        <v>117000</v>
      </c>
      <c r="F45" s="33">
        <v>0.820888888888889</v>
      </c>
      <c r="G45" s="33">
        <v>4.5553444541551098</v>
      </c>
      <c r="H45" s="18">
        <v>119883</v>
      </c>
    </row>
    <row r="46" spans="1:8">
      <c r="A46" s="11">
        <f t="shared" si="0"/>
        <v>39</v>
      </c>
      <c r="B46" s="11" t="s">
        <v>59</v>
      </c>
      <c r="C46" s="18">
        <v>-11219</v>
      </c>
      <c r="D46" s="18">
        <v>14761</v>
      </c>
      <c r="E46" s="18">
        <v>3000</v>
      </c>
      <c r="F46" s="33">
        <v>-3.73966666666667</v>
      </c>
      <c r="G46" s="33">
        <v>0.86306495936385397</v>
      </c>
      <c r="H46" s="18">
        <v>14761</v>
      </c>
    </row>
    <row r="47" spans="1:8">
      <c r="A47" s="11">
        <f t="shared" si="0"/>
        <v>40</v>
      </c>
      <c r="B47" s="11" t="s">
        <v>78</v>
      </c>
      <c r="C47" s="18">
        <v>219678</v>
      </c>
      <c r="D47" s="18">
        <v>171297</v>
      </c>
      <c r="E47" s="18">
        <v>73000</v>
      </c>
      <c r="F47" s="33">
        <v>3.00928767123288</v>
      </c>
      <c r="G47" s="33">
        <v>1.9319573676196899</v>
      </c>
      <c r="H47" s="18">
        <v>171297</v>
      </c>
    </row>
    <row r="48" spans="1:8">
      <c r="A48" s="11">
        <f t="shared" si="0"/>
        <v>41</v>
      </c>
      <c r="B48" s="11" t="s">
        <v>60</v>
      </c>
      <c r="C48" s="18">
        <v>159088</v>
      </c>
      <c r="D48" s="18">
        <v>312286</v>
      </c>
      <c r="E48" s="18">
        <v>54812</v>
      </c>
      <c r="F48" s="33">
        <v>2.90243012479019</v>
      </c>
      <c r="G48" s="33">
        <v>6.4090218774370999</v>
      </c>
      <c r="H48" s="18">
        <v>312286</v>
      </c>
    </row>
    <row r="49" spans="1:8">
      <c r="A49" s="11">
        <f t="shared" si="0"/>
        <v>42</v>
      </c>
      <c r="B49" s="11" t="s">
        <v>61</v>
      </c>
      <c r="C49" s="18">
        <v>405495</v>
      </c>
      <c r="D49" s="18">
        <v>611736</v>
      </c>
      <c r="E49" s="18">
        <v>432000</v>
      </c>
      <c r="F49" s="33">
        <v>0.93864583333333296</v>
      </c>
      <c r="G49" s="33">
        <v>1.4370187315890599</v>
      </c>
      <c r="H49" s="18">
        <v>611736</v>
      </c>
    </row>
    <row r="50" spans="1:8">
      <c r="A50" s="11">
        <f t="shared" si="0"/>
        <v>43</v>
      </c>
      <c r="B50" s="12" t="s">
        <v>134</v>
      </c>
      <c r="C50" s="13"/>
      <c r="D50" s="13"/>
      <c r="E50" s="13"/>
      <c r="F50" s="31"/>
      <c r="G50" s="31"/>
      <c r="H50" s="13"/>
    </row>
    <row r="51" spans="1:8">
      <c r="A51" s="11">
        <f t="shared" si="0"/>
        <v>44</v>
      </c>
      <c r="B51" s="11" t="s">
        <v>62</v>
      </c>
      <c r="C51" s="18">
        <v>-25946</v>
      </c>
      <c r="D51" s="18">
        <v>17371</v>
      </c>
      <c r="E51" s="18">
        <v>63000</v>
      </c>
      <c r="F51" s="33">
        <v>-0.41184126984127001</v>
      </c>
      <c r="G51" s="33">
        <v>0.18911327635948</v>
      </c>
      <c r="H51" s="18">
        <v>17371</v>
      </c>
    </row>
    <row r="52" spans="1:8">
      <c r="A52" s="11">
        <f t="shared" si="0"/>
        <v>45</v>
      </c>
      <c r="B52" s="11" t="s">
        <v>63</v>
      </c>
      <c r="C52" s="18"/>
      <c r="D52" s="18">
        <v>-6356</v>
      </c>
      <c r="E52" s="18"/>
      <c r="F52" s="33"/>
      <c r="G52" s="33"/>
      <c r="H52" s="18">
        <v>-6356</v>
      </c>
    </row>
    <row r="53" spans="1:8">
      <c r="A53" s="11">
        <f t="shared" si="0"/>
        <v>46</v>
      </c>
      <c r="B53" s="11" t="s">
        <v>64</v>
      </c>
      <c r="C53" s="18">
        <v>14859</v>
      </c>
      <c r="D53" s="18">
        <v>82971</v>
      </c>
      <c r="E53" s="18">
        <v>30000</v>
      </c>
      <c r="F53" s="33">
        <v>0.49530000000000002</v>
      </c>
      <c r="G53" s="33">
        <v>5.9794609397520899</v>
      </c>
      <c r="H53" s="18">
        <v>82971</v>
      </c>
    </row>
    <row r="54" spans="1:8">
      <c r="A54" s="11">
        <f t="shared" si="0"/>
        <v>47</v>
      </c>
      <c r="B54" s="11" t="s">
        <v>65</v>
      </c>
      <c r="C54" s="18">
        <v>-10029</v>
      </c>
      <c r="D54" s="18">
        <v>643293</v>
      </c>
      <c r="E54" s="18">
        <v>-5168</v>
      </c>
      <c r="F54" s="33">
        <v>1.9405959752322</v>
      </c>
      <c r="G54" s="33"/>
      <c r="H54" s="18">
        <v>643293</v>
      </c>
    </row>
    <row r="55" spans="1:8">
      <c r="A55" s="11">
        <f t="shared" si="0"/>
        <v>48</v>
      </c>
      <c r="C55" s="18"/>
      <c r="D55" s="18"/>
      <c r="E55" s="18"/>
      <c r="F55" s="37"/>
      <c r="G55" s="37"/>
      <c r="H55" s="18"/>
    </row>
    <row r="56" spans="1:8">
      <c r="A56" s="11">
        <f t="shared" si="0"/>
        <v>49</v>
      </c>
      <c r="B56" s="11" t="s">
        <v>66</v>
      </c>
      <c r="C56" s="18">
        <v>6180520</v>
      </c>
      <c r="D56" s="18">
        <v>5651144</v>
      </c>
      <c r="E56" s="18">
        <v>6382966</v>
      </c>
      <c r="F56" s="33">
        <v>0.96828339677823805</v>
      </c>
      <c r="G56" s="33">
        <v>0.92955437137670505</v>
      </c>
      <c r="H56" s="18">
        <v>5651144</v>
      </c>
    </row>
    <row r="57" spans="1:8">
      <c r="A57" s="11">
        <f t="shared" si="0"/>
        <v>50</v>
      </c>
      <c r="C57" s="18"/>
      <c r="D57" s="18"/>
      <c r="E57" s="18"/>
      <c r="F57" s="37"/>
      <c r="G57" s="37"/>
      <c r="H57" s="18"/>
    </row>
    <row r="58" spans="1:8">
      <c r="A58" s="11">
        <f t="shared" si="0"/>
        <v>51</v>
      </c>
      <c r="B58" s="12" t="s">
        <v>79</v>
      </c>
      <c r="C58" s="13"/>
      <c r="D58" s="13"/>
      <c r="E58" s="13"/>
      <c r="F58" s="31"/>
      <c r="G58" s="31"/>
      <c r="H58" s="13"/>
    </row>
    <row r="59" spans="1:8">
      <c r="A59" s="11">
        <f t="shared" si="0"/>
        <v>52</v>
      </c>
      <c r="B59" s="11" t="s">
        <v>70</v>
      </c>
      <c r="C59" s="18">
        <v>292453</v>
      </c>
      <c r="D59" s="18">
        <v>409924</v>
      </c>
      <c r="E59" s="18">
        <v>345000</v>
      </c>
      <c r="F59" s="33">
        <v>0.84768985507246397</v>
      </c>
      <c r="G59" s="33">
        <v>1.1547154929577499</v>
      </c>
      <c r="H59" s="18">
        <v>409924</v>
      </c>
    </row>
    <row r="60" spans="1:8">
      <c r="A60" s="11">
        <f t="shared" si="0"/>
        <v>53</v>
      </c>
      <c r="B60" s="11" t="s">
        <v>71</v>
      </c>
      <c r="C60" s="18">
        <v>7276762</v>
      </c>
      <c r="D60" s="18">
        <v>6847618</v>
      </c>
      <c r="E60" s="18">
        <v>6910000</v>
      </c>
      <c r="F60" s="33">
        <v>1.0530769898697501</v>
      </c>
      <c r="G60" s="33">
        <v>1.1262529605263201</v>
      </c>
      <c r="H60" s="18">
        <v>6847618</v>
      </c>
    </row>
    <row r="61" spans="1:8">
      <c r="A61" s="11">
        <f t="shared" si="0"/>
        <v>54</v>
      </c>
      <c r="B61" s="11" t="s">
        <v>72</v>
      </c>
      <c r="C61" s="18">
        <v>1257501</v>
      </c>
      <c r="D61" s="18">
        <v>1314817</v>
      </c>
      <c r="E61" s="18">
        <v>950000</v>
      </c>
      <c r="F61" s="33">
        <v>1.3236852631578899</v>
      </c>
      <c r="G61" s="33">
        <v>1.60343536585366</v>
      </c>
      <c r="H61" s="18">
        <v>1314817</v>
      </c>
    </row>
    <row r="62" spans="1:8">
      <c r="A62" s="11">
        <f t="shared" si="0"/>
        <v>55</v>
      </c>
      <c r="B62" s="11" t="s">
        <v>80</v>
      </c>
      <c r="C62" s="18">
        <v>795925</v>
      </c>
      <c r="D62" s="18">
        <v>624709</v>
      </c>
      <c r="E62" s="18">
        <v>626227</v>
      </c>
      <c r="F62" s="33">
        <v>1.27098480263547</v>
      </c>
      <c r="G62" s="33">
        <v>1.0127191937269699</v>
      </c>
      <c r="H62" s="18">
        <v>624709</v>
      </c>
    </row>
    <row r="63" spans="1:8">
      <c r="A63" s="11">
        <f t="shared" si="0"/>
        <v>56</v>
      </c>
      <c r="B63" s="11" t="s">
        <v>81</v>
      </c>
      <c r="C63" s="18">
        <v>172367</v>
      </c>
      <c r="D63" s="18">
        <v>205216</v>
      </c>
      <c r="E63" s="18"/>
      <c r="F63" s="33"/>
      <c r="G63" s="33"/>
      <c r="H63" s="18">
        <v>205216</v>
      </c>
    </row>
    <row r="64" spans="1:8">
      <c r="A64" s="11">
        <f t="shared" si="0"/>
        <v>57</v>
      </c>
      <c r="B64" s="11" t="s">
        <v>67</v>
      </c>
      <c r="C64" s="18">
        <v>32346</v>
      </c>
      <c r="D64" s="18">
        <v>36744</v>
      </c>
      <c r="E64" s="18">
        <v>48000</v>
      </c>
      <c r="F64" s="33">
        <v>0.673875</v>
      </c>
      <c r="G64" s="33">
        <v>0.81436170212766001</v>
      </c>
      <c r="H64" s="18">
        <v>36744</v>
      </c>
    </row>
    <row r="65" spans="1:12">
      <c r="A65" s="11">
        <f t="shared" si="0"/>
        <v>58</v>
      </c>
      <c r="B65" s="11" t="s">
        <v>68</v>
      </c>
      <c r="C65" s="18">
        <v>304634</v>
      </c>
      <c r="D65" s="18">
        <v>332603</v>
      </c>
      <c r="E65" s="18">
        <v>295000</v>
      </c>
      <c r="F65" s="33">
        <v>1.0326576271186401</v>
      </c>
      <c r="G65" s="33">
        <v>1.12746779661017</v>
      </c>
      <c r="H65" s="18">
        <v>332603</v>
      </c>
    </row>
    <row r="66" spans="1:12">
      <c r="A66" s="11">
        <f t="shared" si="0"/>
        <v>59</v>
      </c>
      <c r="B66" s="11" t="s">
        <v>69</v>
      </c>
      <c r="C66" s="18">
        <v>42369</v>
      </c>
      <c r="D66" s="18">
        <v>63400</v>
      </c>
      <c r="E66" s="18">
        <v>27000</v>
      </c>
      <c r="F66" s="33">
        <v>1.5692222222222201</v>
      </c>
      <c r="G66" s="33">
        <v>2.3481481481481499</v>
      </c>
      <c r="H66" s="18">
        <v>63400</v>
      </c>
    </row>
    <row r="67" spans="1:12">
      <c r="A67" s="11"/>
    </row>
    <row r="68" spans="1:12">
      <c r="A68" s="11"/>
    </row>
    <row r="71" spans="1:12">
      <c r="J71" s="30"/>
      <c r="K71" s="30"/>
      <c r="L71" s="30"/>
    </row>
  </sheetData>
  <mergeCells count="3">
    <mergeCell ref="B1:G1"/>
    <mergeCell ref="B2:G2"/>
    <mergeCell ref="B3:G3"/>
  </mergeCells>
  <phoneticPr fontId="3" type="noConversion"/>
  <pageMargins left="0.75" right="0.75" top="1" bottom="1" header="0.5" footer="0.5"/>
  <pageSetup scale="75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7"/>
  <sheetViews>
    <sheetView zoomScaleNormal="100" workbookViewId="0">
      <selection sqref="A1:E57"/>
    </sheetView>
  </sheetViews>
  <sheetFormatPr defaultRowHeight="12.75"/>
  <cols>
    <col min="2" max="2" width="20.85546875" customWidth="1"/>
    <col min="3" max="3" width="14.42578125" style="3" bestFit="1" customWidth="1"/>
    <col min="4" max="5" width="12.28515625" style="3" customWidth="1"/>
    <col min="6" max="6" width="11.7109375" bestFit="1" customWidth="1"/>
  </cols>
  <sheetData>
    <row r="1" spans="1:6">
      <c r="B1" s="41" t="s">
        <v>73</v>
      </c>
      <c r="C1" s="41"/>
      <c r="D1" s="41"/>
      <c r="E1" s="41"/>
    </row>
    <row r="2" spans="1:6">
      <c r="B2" s="41" t="s">
        <v>75</v>
      </c>
      <c r="C2" s="41"/>
      <c r="D2" s="41"/>
      <c r="E2" s="41"/>
    </row>
    <row r="4" spans="1:6">
      <c r="C4" s="2" t="s">
        <v>137</v>
      </c>
      <c r="D4" s="2" t="s">
        <v>128</v>
      </c>
      <c r="E4" s="2" t="s">
        <v>103</v>
      </c>
      <c r="F4" s="2" t="s">
        <v>137</v>
      </c>
    </row>
    <row r="5" spans="1:6">
      <c r="B5" s="1" t="s">
        <v>16</v>
      </c>
      <c r="F5" s="3"/>
    </row>
    <row r="6" spans="1:6">
      <c r="F6" s="3"/>
    </row>
    <row r="7" spans="1:6">
      <c r="A7" s="11">
        <v>1</v>
      </c>
      <c r="B7" t="s">
        <v>4</v>
      </c>
      <c r="C7" s="3">
        <v>19677897</v>
      </c>
      <c r="D7" s="3">
        <v>19867818</v>
      </c>
      <c r="E7" s="3">
        <v>17183873</v>
      </c>
      <c r="F7" s="3">
        <v>19677897</v>
      </c>
    </row>
    <row r="8" spans="1:6">
      <c r="A8" s="11">
        <f>+A7+1</f>
        <v>2</v>
      </c>
      <c r="B8" t="s">
        <v>17</v>
      </c>
      <c r="C8" s="3">
        <v>26504144</v>
      </c>
      <c r="D8" s="3">
        <v>24897335</v>
      </c>
      <c r="E8" s="3">
        <v>30672007</v>
      </c>
      <c r="F8" s="3">
        <v>26504144</v>
      </c>
    </row>
    <row r="9" spans="1:6">
      <c r="A9" s="11">
        <f t="shared" ref="A9:A56" si="0">+A8+1</f>
        <v>3</v>
      </c>
      <c r="B9" t="s">
        <v>18</v>
      </c>
      <c r="C9" s="3">
        <v>68503203</v>
      </c>
      <c r="D9" s="3">
        <v>65705995</v>
      </c>
      <c r="E9" s="3">
        <v>57152446</v>
      </c>
      <c r="F9" s="3">
        <v>68503203</v>
      </c>
    </row>
    <row r="10" spans="1:6" ht="13.5" thickBot="1">
      <c r="A10" s="11">
        <f t="shared" si="0"/>
        <v>4</v>
      </c>
      <c r="B10" t="s">
        <v>19</v>
      </c>
      <c r="C10" s="4">
        <f>SUM(C7:C9)</f>
        <v>114685244</v>
      </c>
      <c r="D10" s="4">
        <f>SUM(D7:D9)</f>
        <v>110471148</v>
      </c>
      <c r="E10" s="4">
        <f>SUM(E7:E9)</f>
        <v>105008326</v>
      </c>
      <c r="F10" s="4">
        <f>SUM(F7:F9)</f>
        <v>114685244</v>
      </c>
    </row>
    <row r="11" spans="1:6" ht="13.5" thickTop="1">
      <c r="A11" s="11">
        <f t="shared" si="0"/>
        <v>5</v>
      </c>
      <c r="F11" s="3"/>
    </row>
    <row r="12" spans="1:6">
      <c r="A12" s="11">
        <f t="shared" si="0"/>
        <v>6</v>
      </c>
      <c r="B12" t="s">
        <v>20</v>
      </c>
      <c r="C12" s="3">
        <v>6101931</v>
      </c>
      <c r="D12" s="3">
        <v>5635607</v>
      </c>
      <c r="E12" s="3">
        <v>5856719</v>
      </c>
      <c r="F12" s="3">
        <v>6101931</v>
      </c>
    </row>
    <row r="13" spans="1:6">
      <c r="A13" s="11">
        <f t="shared" si="0"/>
        <v>7</v>
      </c>
      <c r="B13" t="s">
        <v>21</v>
      </c>
      <c r="C13" s="3">
        <v>24940846</v>
      </c>
      <c r="D13" s="3">
        <v>26416247</v>
      </c>
      <c r="E13" s="3">
        <v>17763894</v>
      </c>
      <c r="F13" s="3">
        <v>24940846</v>
      </c>
    </row>
    <row r="14" spans="1:6">
      <c r="A14" s="11">
        <f t="shared" si="0"/>
        <v>8</v>
      </c>
      <c r="B14" t="s">
        <v>22</v>
      </c>
      <c r="C14" s="3">
        <v>59534553</v>
      </c>
      <c r="D14" s="3">
        <v>55931957</v>
      </c>
      <c r="E14" s="3">
        <v>51304034</v>
      </c>
      <c r="F14" s="3">
        <v>59534553</v>
      </c>
    </row>
    <row r="15" spans="1:6">
      <c r="A15" s="11">
        <f t="shared" si="0"/>
        <v>9</v>
      </c>
      <c r="B15" t="s">
        <v>23</v>
      </c>
      <c r="C15" s="3">
        <v>5734109</v>
      </c>
      <c r="D15" s="3">
        <v>4205315</v>
      </c>
      <c r="E15" s="3">
        <v>12060850</v>
      </c>
      <c r="F15" s="3">
        <v>5734109</v>
      </c>
    </row>
    <row r="16" spans="1:6">
      <c r="A16" s="11">
        <f t="shared" si="0"/>
        <v>10</v>
      </c>
      <c r="B16" t="s">
        <v>24</v>
      </c>
      <c r="C16" s="3">
        <v>18373805</v>
      </c>
      <c r="D16" s="3">
        <v>18282022</v>
      </c>
      <c r="E16" s="3">
        <v>18022829</v>
      </c>
      <c r="F16" s="3">
        <v>18373805</v>
      </c>
    </row>
    <row r="17" spans="1:6" ht="13.5" thickBot="1">
      <c r="A17" s="11">
        <f t="shared" si="0"/>
        <v>11</v>
      </c>
      <c r="B17" t="s">
        <v>25</v>
      </c>
      <c r="C17" s="4">
        <f>SUM(C12:C16)</f>
        <v>114685244</v>
      </c>
      <c r="D17" s="4">
        <f>SUM(D12:D16)</f>
        <v>110471148</v>
      </c>
      <c r="E17" s="4">
        <f>SUM(E12:E16)</f>
        <v>105008326</v>
      </c>
      <c r="F17" s="4">
        <f>SUM(F12:F16)</f>
        <v>114685244</v>
      </c>
    </row>
    <row r="18" spans="1:6" ht="13.5" thickTop="1">
      <c r="A18" s="11">
        <f t="shared" si="0"/>
        <v>12</v>
      </c>
      <c r="F18" s="3"/>
    </row>
    <row r="19" spans="1:6">
      <c r="A19" s="11">
        <f t="shared" si="0"/>
        <v>13</v>
      </c>
      <c r="B19" s="1" t="s">
        <v>26</v>
      </c>
      <c r="F19" s="3"/>
    </row>
    <row r="20" spans="1:6">
      <c r="A20" s="11">
        <f t="shared" si="0"/>
        <v>14</v>
      </c>
      <c r="F20" s="3"/>
    </row>
    <row r="21" spans="1:6">
      <c r="A21" s="11">
        <f t="shared" si="0"/>
        <v>15</v>
      </c>
      <c r="B21" t="s">
        <v>29</v>
      </c>
      <c r="C21" s="3">
        <v>4134460</v>
      </c>
      <c r="D21" s="3">
        <v>3507820</v>
      </c>
      <c r="E21" s="3">
        <v>5455704</v>
      </c>
      <c r="F21" s="3">
        <v>4134460</v>
      </c>
    </row>
    <row r="22" spans="1:6">
      <c r="A22" s="11">
        <f t="shared" si="0"/>
        <v>16</v>
      </c>
      <c r="B22" t="s">
        <v>27</v>
      </c>
      <c r="C22" s="3">
        <v>-5109858</v>
      </c>
      <c r="D22" s="3">
        <v>-11188311</v>
      </c>
      <c r="E22" s="3">
        <v>-8442696</v>
      </c>
      <c r="F22" s="3">
        <v>-5109858</v>
      </c>
    </row>
    <row r="23" spans="1:6">
      <c r="A23" s="11">
        <f t="shared" si="0"/>
        <v>17</v>
      </c>
      <c r="B23" t="s">
        <v>28</v>
      </c>
      <c r="C23" s="3">
        <v>-981421</v>
      </c>
      <c r="D23" s="3">
        <v>8905003</v>
      </c>
      <c r="E23" s="3">
        <v>1151256</v>
      </c>
      <c r="F23" s="3">
        <v>-981421</v>
      </c>
    </row>
    <row r="24" spans="1:6">
      <c r="A24" s="11">
        <f t="shared" si="0"/>
        <v>18</v>
      </c>
      <c r="B24" t="s">
        <v>30</v>
      </c>
      <c r="C24" s="6">
        <f>SUM(C21:C23)</f>
        <v>-1956819</v>
      </c>
      <c r="D24" s="6">
        <f>SUM(D21:D23)</f>
        <v>1224512</v>
      </c>
      <c r="E24" s="6">
        <f>SUM(E21:E23)</f>
        <v>-1835736</v>
      </c>
      <c r="F24" s="6">
        <f>SUM(F21:F23)</f>
        <v>-1956819</v>
      </c>
    </row>
    <row r="25" spans="1:6">
      <c r="A25" s="11">
        <f t="shared" si="0"/>
        <v>19</v>
      </c>
      <c r="B25" t="s">
        <v>31</v>
      </c>
      <c r="C25" s="3">
        <v>8600391</v>
      </c>
      <c r="D25" s="3">
        <v>10557206</v>
      </c>
      <c r="E25" s="3">
        <v>9332694</v>
      </c>
      <c r="F25" s="3">
        <v>8600391</v>
      </c>
    </row>
    <row r="26" spans="1:6">
      <c r="A26" s="11">
        <f t="shared" si="0"/>
        <v>20</v>
      </c>
      <c r="C26" s="2"/>
      <c r="D26" s="2"/>
      <c r="E26" s="2"/>
      <c r="F26" s="2"/>
    </row>
    <row r="27" spans="1:6">
      <c r="A27" s="11">
        <f t="shared" si="0"/>
        <v>21</v>
      </c>
      <c r="B27" s="1" t="s">
        <v>32</v>
      </c>
      <c r="F27" s="3"/>
    </row>
    <row r="28" spans="1:6">
      <c r="A28" s="11">
        <f t="shared" si="0"/>
        <v>22</v>
      </c>
      <c r="F28" s="3"/>
    </row>
    <row r="29" spans="1:6">
      <c r="A29" s="11">
        <f t="shared" si="0"/>
        <v>23</v>
      </c>
      <c r="B29" t="s">
        <v>33</v>
      </c>
      <c r="C29" s="3">
        <v>33135580</v>
      </c>
      <c r="D29" s="3">
        <v>31315886</v>
      </c>
      <c r="E29" s="3">
        <v>28783637</v>
      </c>
      <c r="F29" s="3">
        <v>33135580</v>
      </c>
    </row>
    <row r="30" spans="1:6">
      <c r="A30" s="11">
        <f t="shared" si="0"/>
        <v>24</v>
      </c>
      <c r="B30" t="s">
        <v>34</v>
      </c>
      <c r="C30" s="3">
        <v>751161</v>
      </c>
      <c r="D30" s="3">
        <v>1108110</v>
      </c>
      <c r="E30" s="3">
        <v>1168767</v>
      </c>
      <c r="F30" s="3">
        <v>751161</v>
      </c>
    </row>
    <row r="31" spans="1:6">
      <c r="A31" s="11">
        <f t="shared" si="0"/>
        <v>25</v>
      </c>
      <c r="B31" t="s">
        <v>40</v>
      </c>
      <c r="C31" s="3">
        <v>3719250</v>
      </c>
      <c r="D31" s="3">
        <v>3324131</v>
      </c>
      <c r="E31" s="3">
        <v>2477452</v>
      </c>
      <c r="F31" s="3">
        <v>3719250</v>
      </c>
    </row>
    <row r="32" spans="1:6">
      <c r="A32" s="11">
        <f t="shared" si="0"/>
        <v>26</v>
      </c>
      <c r="B32" t="s">
        <v>129</v>
      </c>
      <c r="C32" s="3">
        <v>5481879</v>
      </c>
      <c r="D32" s="3">
        <v>5421810</v>
      </c>
      <c r="E32" s="3">
        <v>5256563</v>
      </c>
      <c r="F32" s="3">
        <v>5481879</v>
      </c>
    </row>
    <row r="33" spans="1:6">
      <c r="A33" s="11">
        <f t="shared" si="0"/>
        <v>27</v>
      </c>
      <c r="B33" t="s">
        <v>35</v>
      </c>
      <c r="C33" s="3">
        <f>13658380+1809804+6643511</f>
        <v>22111695</v>
      </c>
      <c r="D33" s="3">
        <f>13046820+1402212+6844350</f>
        <v>21293382</v>
      </c>
      <c r="E33" s="3">
        <f>124368+12081906+1018662+7205248</f>
        <v>20430184</v>
      </c>
      <c r="F33" s="3">
        <f>13658380+1809804+6643511</f>
        <v>22111695</v>
      </c>
    </row>
    <row r="34" spans="1:6">
      <c r="A34" s="11">
        <f t="shared" si="0"/>
        <v>28</v>
      </c>
      <c r="B34" t="s">
        <v>36</v>
      </c>
      <c r="C34" s="3">
        <v>2809069</v>
      </c>
      <c r="D34" s="3">
        <v>-5126871</v>
      </c>
      <c r="E34" s="3">
        <v>-494114</v>
      </c>
      <c r="F34" s="3">
        <v>2809069</v>
      </c>
    </row>
    <row r="35" spans="1:6">
      <c r="A35" s="11">
        <f t="shared" si="0"/>
        <v>29</v>
      </c>
      <c r="B35" t="s">
        <v>37</v>
      </c>
      <c r="C35" s="3">
        <v>408751</v>
      </c>
      <c r="D35" s="3">
        <v>76364</v>
      </c>
      <c r="E35" s="3">
        <v>657983</v>
      </c>
      <c r="F35" s="3">
        <v>408751</v>
      </c>
    </row>
    <row r="36" spans="1:6">
      <c r="A36" s="11">
        <f t="shared" si="0"/>
        <v>30</v>
      </c>
      <c r="B36" t="s">
        <v>38</v>
      </c>
      <c r="C36" s="7">
        <v>411692</v>
      </c>
      <c r="D36" s="7">
        <v>-429732</v>
      </c>
      <c r="E36" s="7">
        <v>55577</v>
      </c>
      <c r="F36" s="7">
        <v>411692</v>
      </c>
    </row>
    <row r="37" spans="1:6">
      <c r="A37" s="11">
        <f t="shared" si="0"/>
        <v>31</v>
      </c>
      <c r="B37" t="s">
        <v>39</v>
      </c>
      <c r="C37" s="3">
        <f>SUM(C29:C36)</f>
        <v>68829077</v>
      </c>
      <c r="D37" s="3">
        <f>SUM(D29:D36)</f>
        <v>56983080</v>
      </c>
      <c r="E37" s="3">
        <f>SUM(E29:E36)</f>
        <v>58336049</v>
      </c>
      <c r="F37" s="3">
        <f>SUM(F29:F36)</f>
        <v>68829077</v>
      </c>
    </row>
    <row r="38" spans="1:6">
      <c r="A38" s="11">
        <f t="shared" si="0"/>
        <v>32</v>
      </c>
      <c r="F38" s="3"/>
    </row>
    <row r="39" spans="1:6">
      <c r="A39" s="11">
        <f t="shared" si="0"/>
        <v>33</v>
      </c>
      <c r="B39" t="s">
        <v>104</v>
      </c>
      <c r="C39" s="3">
        <v>17102526</v>
      </c>
      <c r="D39" s="3">
        <v>17135472</v>
      </c>
      <c r="E39" s="3">
        <v>15849353</v>
      </c>
      <c r="F39" s="3">
        <v>17102526</v>
      </c>
    </row>
    <row r="40" spans="1:6">
      <c r="A40" s="11">
        <f t="shared" si="0"/>
        <v>34</v>
      </c>
      <c r="B40" t="s">
        <v>105</v>
      </c>
      <c r="C40" s="3">
        <f>80358+578077</f>
        <v>658435</v>
      </c>
      <c r="D40" s="3">
        <f>38289+463358</f>
        <v>501647</v>
      </c>
      <c r="E40" s="3">
        <f>13231+486400</f>
        <v>499631</v>
      </c>
      <c r="F40" s="3">
        <f>80358+578077</f>
        <v>658435</v>
      </c>
    </row>
    <row r="41" spans="1:6">
      <c r="A41" s="11">
        <f t="shared" si="0"/>
        <v>35</v>
      </c>
      <c r="B41" t="s">
        <v>106</v>
      </c>
      <c r="C41" s="3">
        <v>3920832</v>
      </c>
      <c r="D41" s="3">
        <v>3644125</v>
      </c>
      <c r="E41" s="3">
        <v>3252276</v>
      </c>
      <c r="F41" s="3">
        <v>3920832</v>
      </c>
    </row>
    <row r="42" spans="1:6">
      <c r="A42" s="11">
        <f t="shared" si="0"/>
        <v>36</v>
      </c>
      <c r="B42" t="s">
        <v>107</v>
      </c>
      <c r="C42" s="3">
        <v>6723999</v>
      </c>
      <c r="D42" s="3">
        <v>5684162</v>
      </c>
      <c r="E42" s="3">
        <v>5047720</v>
      </c>
      <c r="F42" s="3">
        <v>6723999</v>
      </c>
    </row>
    <row r="43" spans="1:6">
      <c r="A43" s="11">
        <f t="shared" si="0"/>
        <v>37</v>
      </c>
      <c r="B43" t="s">
        <v>108</v>
      </c>
      <c r="C43" s="3">
        <f>60255+67852+8615430</f>
        <v>8743537</v>
      </c>
      <c r="D43" s="3">
        <f>7636559+800221+101810</f>
        <v>8538590</v>
      </c>
      <c r="E43" s="3">
        <f>7043780+77608-30199</f>
        <v>7091189</v>
      </c>
      <c r="F43" s="3">
        <f>60255+67852+8615430</f>
        <v>8743537</v>
      </c>
    </row>
    <row r="44" spans="1:6">
      <c r="A44" s="11">
        <f t="shared" si="0"/>
        <v>38</v>
      </c>
      <c r="B44" t="s">
        <v>109</v>
      </c>
      <c r="C44" s="3">
        <f>2348438+4854833</f>
        <v>7203271</v>
      </c>
      <c r="D44" s="3">
        <f>4672966+2003744</f>
        <v>6676710</v>
      </c>
      <c r="E44" s="3">
        <f>4858188+1784144</f>
        <v>6642332</v>
      </c>
      <c r="F44" s="3">
        <f>2348438+4854833</f>
        <v>7203271</v>
      </c>
    </row>
    <row r="45" spans="1:6">
      <c r="A45" s="11">
        <f t="shared" si="0"/>
        <v>39</v>
      </c>
      <c r="B45" t="s">
        <v>46</v>
      </c>
      <c r="C45" s="21">
        <v>12580945</v>
      </c>
      <c r="D45" s="21">
        <v>11656358</v>
      </c>
      <c r="E45" s="21">
        <v>11380232</v>
      </c>
      <c r="F45" s="21">
        <v>12580945</v>
      </c>
    </row>
    <row r="46" spans="1:6">
      <c r="A46" s="11">
        <f t="shared" si="0"/>
        <v>40</v>
      </c>
      <c r="B46" t="s">
        <v>47</v>
      </c>
      <c r="C46" s="7">
        <v>6672360</v>
      </c>
      <c r="D46" s="7">
        <v>6114433</v>
      </c>
      <c r="E46" s="7">
        <v>7964688</v>
      </c>
      <c r="F46" s="7">
        <v>6672360</v>
      </c>
    </row>
    <row r="47" spans="1:6">
      <c r="A47" s="11">
        <f t="shared" si="0"/>
        <v>41</v>
      </c>
      <c r="B47" t="s">
        <v>42</v>
      </c>
      <c r="C47" s="3">
        <f>SUM(C39:C46)</f>
        <v>63605905</v>
      </c>
      <c r="D47" s="3">
        <f>SUM(D39:D46)</f>
        <v>59951497</v>
      </c>
      <c r="E47" s="3">
        <f>SUM(E39:E46)</f>
        <v>57727421</v>
      </c>
      <c r="F47" s="3">
        <f>SUM(F39:F46)</f>
        <v>63605905</v>
      </c>
    </row>
    <row r="48" spans="1:6" ht="13.5" thickBot="1">
      <c r="A48" s="11">
        <f t="shared" si="0"/>
        <v>42</v>
      </c>
      <c r="B48" t="s">
        <v>43</v>
      </c>
      <c r="C48" s="4">
        <f>+C37-C47</f>
        <v>5223172</v>
      </c>
      <c r="D48" s="4">
        <f>+D37-D47</f>
        <v>-2968417</v>
      </c>
      <c r="E48" s="4">
        <f>+E37-E47</f>
        <v>608628</v>
      </c>
      <c r="F48" s="4">
        <f>+F37-F47</f>
        <v>5223172</v>
      </c>
    </row>
    <row r="49" spans="1:6" ht="13.5" thickTop="1">
      <c r="A49" s="11">
        <f t="shared" si="0"/>
        <v>43</v>
      </c>
      <c r="F49" s="3"/>
    </row>
    <row r="50" spans="1:6">
      <c r="A50" s="11">
        <f t="shared" si="0"/>
        <v>44</v>
      </c>
      <c r="B50" s="1" t="s">
        <v>44</v>
      </c>
      <c r="F50" s="3"/>
    </row>
    <row r="51" spans="1:6">
      <c r="A51" s="11">
        <f t="shared" si="0"/>
        <v>45</v>
      </c>
      <c r="B51" t="s">
        <v>110</v>
      </c>
      <c r="C51" s="3">
        <v>719854</v>
      </c>
      <c r="D51" s="3">
        <v>800554</v>
      </c>
      <c r="E51" s="3">
        <v>669535</v>
      </c>
      <c r="F51" s="3">
        <v>719854</v>
      </c>
    </row>
    <row r="52" spans="1:6">
      <c r="A52" s="11">
        <f t="shared" si="0"/>
        <v>46</v>
      </c>
      <c r="B52" t="s">
        <v>47</v>
      </c>
      <c r="C52" s="3">
        <v>-21115</v>
      </c>
      <c r="D52" s="3">
        <v>737278</v>
      </c>
      <c r="E52" s="3">
        <v>-520882</v>
      </c>
      <c r="F52" s="3">
        <v>-21115</v>
      </c>
    </row>
    <row r="53" spans="1:6">
      <c r="A53" s="11">
        <f t="shared" si="0"/>
        <v>47</v>
      </c>
      <c r="B53" t="s">
        <v>48</v>
      </c>
      <c r="C53" s="3">
        <f>2542953+957+359946</f>
        <v>2903856</v>
      </c>
      <c r="D53" s="3">
        <f>3402267-312175</f>
        <v>3090092</v>
      </c>
      <c r="E53" s="3">
        <f>2187812+153218-20937</f>
        <v>2320093</v>
      </c>
      <c r="F53" s="3">
        <f>2542953+957+359946</f>
        <v>2903856</v>
      </c>
    </row>
    <row r="54" spans="1:6">
      <c r="A54" s="11">
        <f t="shared" si="0"/>
        <v>48</v>
      </c>
      <c r="B54" t="s">
        <v>49</v>
      </c>
      <c r="C54" s="3">
        <v>1528794</v>
      </c>
      <c r="D54" s="3">
        <v>-7855535</v>
      </c>
      <c r="E54" s="3">
        <f>-2174065-3</f>
        <v>-2174068</v>
      </c>
      <c r="F54" s="3">
        <v>1528794</v>
      </c>
    </row>
    <row r="55" spans="1:6">
      <c r="A55" s="11">
        <f t="shared" si="0"/>
        <v>49</v>
      </c>
      <c r="B55" t="s">
        <v>50</v>
      </c>
      <c r="C55" s="3">
        <v>91783</v>
      </c>
      <c r="D55" s="3">
        <v>259194</v>
      </c>
      <c r="E55" s="3">
        <v>313950</v>
      </c>
      <c r="F55" s="3">
        <v>91783</v>
      </c>
    </row>
    <row r="56" spans="1:6" ht="13.5" thickBot="1">
      <c r="A56" s="11">
        <f t="shared" si="0"/>
        <v>50</v>
      </c>
      <c r="B56" t="s">
        <v>43</v>
      </c>
      <c r="C56" s="4">
        <f>SUM(C51:C55)</f>
        <v>5223172</v>
      </c>
      <c r="D56" s="4">
        <f>SUM(D51:D55)</f>
        <v>-2968417</v>
      </c>
      <c r="E56" s="4">
        <f>SUM(E51:E55)</f>
        <v>608628</v>
      </c>
      <c r="F56" s="4">
        <f>SUM(F51:F55)</f>
        <v>5223172</v>
      </c>
    </row>
    <row r="57" spans="1:6" ht="13.5" thickTop="1"/>
  </sheetData>
  <mergeCells count="2">
    <mergeCell ref="B1:E1"/>
    <mergeCell ref="B2:E2"/>
  </mergeCells>
  <phoneticPr fontId="3" type="noConversion"/>
  <pageMargins left="1.5" right="1" top="1" bottom="1" header="0.5" footer="0.5"/>
  <pageSetup scale="9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Ratios</vt:lpstr>
      <vt:lpstr>Sumbudg</vt:lpstr>
      <vt:lpstr>FinStmt</vt:lpstr>
      <vt:lpstr>FinStmt!Print_Area</vt:lpstr>
      <vt:lpstr>Ratios!Print_Area</vt:lpstr>
    </vt:vector>
  </TitlesOfParts>
  <Company>Southern Adventist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Frood</dc:creator>
  <cp:lastModifiedBy>Joshua Robinson</cp:lastModifiedBy>
  <cp:lastPrinted>2010-09-06T19:21:02Z</cp:lastPrinted>
  <dcterms:created xsi:type="dcterms:W3CDTF">2005-09-16T15:20:21Z</dcterms:created>
  <dcterms:modified xsi:type="dcterms:W3CDTF">2010-09-16T14:40:49Z</dcterms:modified>
</cp:coreProperties>
</file>